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608" yWindow="4020" windowWidth="25296" windowHeight="14076" tabRatio="936" firstSheet="13" activeTab="13"/>
  </bookViews>
  <sheets>
    <sheet name="Таблица-1" sheetId="1" state="hidden" r:id="rId1"/>
    <sheet name="Таблица 2" sheetId="2" state="hidden" r:id="rId2"/>
    <sheet name="Таблица-3" sheetId="3" state="hidden" r:id="rId3"/>
    <sheet name="Лист2" sheetId="18" state="hidden" r:id="rId4"/>
    <sheet name="Таблица-4" sheetId="4" state="hidden" r:id="rId5"/>
    <sheet name="Таблица-5" sheetId="6" state="hidden" r:id="rId6"/>
    <sheet name="Таблица-6" sheetId="7" state="hidden" r:id="rId7"/>
    <sheet name="Таблица-7" sheetId="8" state="hidden" r:id="rId8"/>
    <sheet name="Таблица-8" sheetId="9" state="hidden" r:id="rId9"/>
    <sheet name="Таблица-9" sheetId="10" state="hidden" r:id="rId10"/>
    <sheet name="Таблица-10" sheetId="11" state="hidden" r:id="rId11"/>
    <sheet name="Таблица-11" sheetId="12" state="hidden" r:id="rId12"/>
    <sheet name="Таблица-12" sheetId="13" state="hidden" r:id="rId13"/>
    <sheet name="Таблица-13" sheetId="14" r:id="rId14"/>
    <sheet name="Лист5" sheetId="24" state="hidden" r:id="rId15"/>
    <sheet name="Лист6" sheetId="25" state="hidden" r:id="rId16"/>
    <sheet name="Лист7" sheetId="26" state="hidden" r:id="rId17"/>
    <sheet name="договори" sheetId="20" r:id="rId18"/>
    <sheet name="Лист1" sheetId="15" state="hidden" r:id="rId19"/>
    <sheet name="Лист3" sheetId="19" state="hidden" r:id="rId20"/>
    <sheet name="Лист4" sheetId="5" state="hidden" r:id="rId21"/>
  </sheets>
  <definedNames>
    <definedName name="_ftn1" localSheetId="3">Лист2!$A$16</definedName>
    <definedName name="_ftnref1" localSheetId="3">Лист2!$G$1</definedName>
    <definedName name="_xlnm.Print_Area" localSheetId="1">'Таблица 2'!$A$1:$F$11</definedName>
    <definedName name="_xlnm.Print_Area" localSheetId="11">'Таблица-11'!$A$1:$P$42</definedName>
    <definedName name="_xlnm.Print_Area" localSheetId="12">'Таблица-12'!$A$1:$R$42</definedName>
    <definedName name="_xlnm.Print_Area" localSheetId="13">'Таблица-13'!$A$1:$P$91</definedName>
    <definedName name="_xlnm.Print_Area" localSheetId="5">'Таблица-5'!$A$1:$Q$27</definedName>
    <definedName name="_xlnm.Print_Area" localSheetId="9">'Таблица-9'!$A$1:$I$22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6" i="14" l="1"/>
  <c r="I65" i="14" l="1"/>
  <c r="J65" i="14"/>
  <c r="M65" i="14"/>
  <c r="N65" i="14"/>
  <c r="O65" i="14"/>
  <c r="D65" i="14"/>
  <c r="C15" i="13"/>
  <c r="B10" i="6" l="1"/>
  <c r="B9" i="6"/>
  <c r="B8" i="6"/>
  <c r="B6" i="6"/>
  <c r="O17" i="13"/>
  <c r="O16" i="13"/>
  <c r="O14" i="13"/>
  <c r="D9" i="13"/>
  <c r="F9" i="13"/>
  <c r="G9" i="13"/>
  <c r="J9" i="13"/>
  <c r="K9" i="13"/>
  <c r="L9" i="13"/>
  <c r="M9" i="13"/>
  <c r="C9" i="13"/>
  <c r="E19" i="13"/>
  <c r="H19" i="13"/>
  <c r="I19" i="13"/>
  <c r="B13" i="13"/>
  <c r="B6" i="13"/>
  <c r="N14" i="13"/>
  <c r="R14" i="13" s="1"/>
  <c r="N15" i="13"/>
  <c r="R15" i="13" s="1"/>
  <c r="N16" i="13"/>
  <c r="R16" i="13" s="1"/>
  <c r="N17" i="13"/>
  <c r="R17" i="13" s="1"/>
  <c r="N9" i="13"/>
  <c r="R9" i="13" s="1"/>
  <c r="J15" i="13"/>
  <c r="K15" i="13"/>
  <c r="L15" i="13"/>
  <c r="M15" i="13"/>
  <c r="L16" i="13"/>
  <c r="L17" i="13"/>
  <c r="M17" i="13"/>
  <c r="F15" i="13"/>
  <c r="G15" i="13"/>
  <c r="N13" i="13" l="1"/>
  <c r="D15" i="13"/>
  <c r="D14" i="13"/>
  <c r="C17" i="13"/>
  <c r="C16" i="13"/>
  <c r="D8" i="12" l="1"/>
  <c r="K9" i="4"/>
  <c r="J9" i="4"/>
  <c r="I9" i="4"/>
  <c r="K8" i="4"/>
  <c r="I8" i="4"/>
  <c r="E8" i="4"/>
  <c r="B8" i="4"/>
  <c r="K7" i="4"/>
  <c r="J7" i="4"/>
  <c r="I7" i="4"/>
  <c r="G7" i="4"/>
  <c r="B7" i="4"/>
  <c r="K6" i="4"/>
  <c r="K5" i="4"/>
  <c r="C5" i="4"/>
  <c r="B5" i="4"/>
  <c r="S10" i="3"/>
  <c r="S9" i="3"/>
  <c r="S8" i="3"/>
  <c r="S6" i="3"/>
  <c r="S7" i="3"/>
  <c r="N6" i="3"/>
  <c r="N10" i="3"/>
  <c r="L10" i="3"/>
  <c r="N9" i="3"/>
  <c r="P9" i="3" s="1"/>
  <c r="L9" i="3"/>
  <c r="J6" i="7" s="1"/>
  <c r="N8" i="3"/>
  <c r="L8" i="3"/>
  <c r="L6" i="3"/>
  <c r="J5" i="7" s="1"/>
  <c r="L7" i="3"/>
  <c r="J9" i="3"/>
  <c r="J6" i="3"/>
  <c r="H9" i="3"/>
  <c r="H8" i="3"/>
  <c r="H6" i="3"/>
  <c r="H10" i="3"/>
  <c r="H7" i="3"/>
  <c r="F9" i="3"/>
  <c r="F8" i="3"/>
  <c r="F6" i="3"/>
  <c r="F10" i="3"/>
  <c r="F7" i="3"/>
  <c r="D9" i="3"/>
  <c r="D8" i="3"/>
  <c r="D6" i="3"/>
  <c r="D10" i="3"/>
  <c r="D7" i="3"/>
  <c r="A92" i="14"/>
  <c r="Q6" i="6"/>
  <c r="O81" i="14"/>
  <c r="E81" i="14"/>
  <c r="G81" i="14"/>
  <c r="H81" i="14"/>
  <c r="K81" i="14"/>
  <c r="L81" i="14"/>
  <c r="M81" i="14"/>
  <c r="N81" i="14"/>
  <c r="L8" i="13"/>
  <c r="M8" i="13"/>
  <c r="N8" i="13"/>
  <c r="C8" i="13"/>
  <c r="L79" i="14"/>
  <c r="E79" i="14"/>
  <c r="L80" i="14"/>
  <c r="J8" i="4" s="1"/>
  <c r="E80" i="14"/>
  <c r="I44" i="14"/>
  <c r="J44" i="14"/>
  <c r="M44" i="14"/>
  <c r="N44" i="14"/>
  <c r="O44" i="14"/>
  <c r="D44" i="14"/>
  <c r="G64" i="14"/>
  <c r="H64" i="14" s="1"/>
  <c r="F7" i="4" s="1"/>
  <c r="E64" i="14"/>
  <c r="C7" i="4" s="1"/>
  <c r="K8" i="14"/>
  <c r="L8" i="14"/>
  <c r="K9" i="14"/>
  <c r="L9" i="14"/>
  <c r="K10" i="14"/>
  <c r="L10" i="14"/>
  <c r="K11" i="14"/>
  <c r="L11" i="14"/>
  <c r="K12" i="14"/>
  <c r="L12" i="14"/>
  <c r="K13" i="14"/>
  <c r="L13" i="14"/>
  <c r="K14" i="14"/>
  <c r="L14" i="14"/>
  <c r="K15" i="14"/>
  <c r="L15" i="14"/>
  <c r="L16" i="14"/>
  <c r="K17" i="14"/>
  <c r="L17" i="14"/>
  <c r="K18" i="14"/>
  <c r="L18" i="14"/>
  <c r="K19" i="14"/>
  <c r="L19" i="14"/>
  <c r="K20" i="14"/>
  <c r="L20" i="14"/>
  <c r="K22" i="14"/>
  <c r="L22" i="14"/>
  <c r="K23" i="14"/>
  <c r="L23" i="14"/>
  <c r="K24" i="14"/>
  <c r="L24" i="14"/>
  <c r="K25" i="14"/>
  <c r="L25" i="14"/>
  <c r="K26" i="14"/>
  <c r="L26" i="14"/>
  <c r="K29" i="14"/>
  <c r="L29" i="14"/>
  <c r="K30" i="14"/>
  <c r="L30" i="14"/>
  <c r="K31" i="14"/>
  <c r="L31" i="14"/>
  <c r="K32" i="14"/>
  <c r="L32" i="14"/>
  <c r="G36" i="14"/>
  <c r="H35" i="14"/>
  <c r="L35" i="14" s="1"/>
  <c r="N35" i="14" s="1"/>
  <c r="G35" i="14"/>
  <c r="K35" i="14" s="1"/>
  <c r="M35" i="14" s="1"/>
  <c r="H34" i="14"/>
  <c r="L34" i="14" s="1"/>
  <c r="N34" i="14" s="1"/>
  <c r="G34" i="14"/>
  <c r="K34" i="14" s="1"/>
  <c r="M34" i="14" s="1"/>
  <c r="H33" i="14"/>
  <c r="F5" i="4" s="1"/>
  <c r="G33" i="14"/>
  <c r="F36" i="14"/>
  <c r="F35" i="14"/>
  <c r="F34" i="14"/>
  <c r="F33" i="14"/>
  <c r="L14" i="13" l="1"/>
  <c r="E65" i="14"/>
  <c r="M14" i="13"/>
  <c r="C8" i="4"/>
  <c r="E5" i="4"/>
  <c r="R8" i="13"/>
  <c r="N6" i="13"/>
  <c r="N19" i="13" s="1"/>
  <c r="N40" i="13" s="1"/>
  <c r="M6" i="14"/>
  <c r="G5" i="4"/>
  <c r="E7" i="4"/>
  <c r="D8" i="13"/>
  <c r="H5" i="4"/>
  <c r="I5" i="4"/>
  <c r="N6" i="14"/>
  <c r="J5" i="4"/>
  <c r="D5" i="4"/>
  <c r="D5" i="1"/>
  <c r="E5" i="1"/>
  <c r="F5" i="1"/>
  <c r="G5" i="1"/>
  <c r="H5" i="1"/>
  <c r="I5" i="1"/>
  <c r="J5" i="1"/>
  <c r="C5" i="1"/>
  <c r="L25" i="6"/>
  <c r="I26" i="3"/>
  <c r="O26" i="3"/>
  <c r="P8" i="3"/>
  <c r="J8" i="3"/>
  <c r="J26" i="3" s="1"/>
  <c r="P6" i="3"/>
  <c r="P26" i="3" l="1"/>
  <c r="M37" i="14" l="1"/>
  <c r="M91" i="14" l="1"/>
  <c r="L6" i="9"/>
  <c r="L5" i="9"/>
  <c r="P6" i="13"/>
  <c r="P13" i="13"/>
  <c r="P19" i="13" s="1"/>
  <c r="O16" i="26"/>
  <c r="N16" i="26"/>
  <c r="M16" i="26"/>
  <c r="D16" i="26"/>
  <c r="F15" i="26"/>
  <c r="F14" i="26"/>
  <c r="E13" i="26"/>
  <c r="F13" i="26" s="1"/>
  <c r="G12" i="26"/>
  <c r="E12" i="26"/>
  <c r="H12" i="26" s="1"/>
  <c r="G11" i="26"/>
  <c r="G16" i="26" s="1"/>
  <c r="E11" i="26"/>
  <c r="H11" i="26" s="1"/>
  <c r="E10" i="26"/>
  <c r="F10" i="26" s="1"/>
  <c r="L7" i="26"/>
  <c r="K7" i="26"/>
  <c r="F7" i="26"/>
  <c r="L6" i="26"/>
  <c r="K6" i="26"/>
  <c r="K16" i="26" s="1"/>
  <c r="F6" i="26"/>
  <c r="D21" i="25"/>
  <c r="R19" i="25"/>
  <c r="N19" i="25"/>
  <c r="M19" i="25"/>
  <c r="D19" i="25"/>
  <c r="F18" i="25"/>
  <c r="L17" i="25"/>
  <c r="K17" i="25"/>
  <c r="H17" i="25"/>
  <c r="G17" i="25"/>
  <c r="F17" i="25"/>
  <c r="L16" i="25"/>
  <c r="K16" i="25"/>
  <c r="H16" i="25"/>
  <c r="G16" i="25"/>
  <c r="F16" i="25"/>
  <c r="F15" i="25"/>
  <c r="O14" i="25"/>
  <c r="O19" i="25" s="1"/>
  <c r="F14" i="25"/>
  <c r="G13" i="25"/>
  <c r="E13" i="25"/>
  <c r="H13" i="25" s="1"/>
  <c r="G12" i="25"/>
  <c r="G19" i="25" s="1"/>
  <c r="E12" i="25"/>
  <c r="H12" i="25" s="1"/>
  <c r="L11" i="25"/>
  <c r="K11" i="25"/>
  <c r="F11" i="25"/>
  <c r="E10" i="25"/>
  <c r="F10" i="25" s="1"/>
  <c r="F9" i="25"/>
  <c r="L8" i="25"/>
  <c r="K8" i="25"/>
  <c r="F8" i="25"/>
  <c r="L7" i="25"/>
  <c r="K7" i="25"/>
  <c r="F7" i="25"/>
  <c r="D50" i="24"/>
  <c r="R48" i="24"/>
  <c r="O48" i="24"/>
  <c r="N48" i="24"/>
  <c r="M48" i="24"/>
  <c r="E48" i="24"/>
  <c r="L33" i="24"/>
  <c r="K33" i="24"/>
  <c r="F33" i="24"/>
  <c r="F31" i="24"/>
  <c r="D30" i="24"/>
  <c r="D48" i="24" s="1"/>
  <c r="F29" i="24"/>
  <c r="H28" i="24"/>
  <c r="G28" i="24"/>
  <c r="F28" i="24"/>
  <c r="H27" i="24"/>
  <c r="G27" i="24"/>
  <c r="F27" i="24"/>
  <c r="L25" i="24"/>
  <c r="F25" i="24"/>
  <c r="L24" i="24"/>
  <c r="F24" i="24"/>
  <c r="L21" i="24"/>
  <c r="K21" i="24"/>
  <c r="F21" i="24"/>
  <c r="L20" i="24"/>
  <c r="F20" i="24"/>
  <c r="L19" i="24"/>
  <c r="F19" i="24"/>
  <c r="L18" i="24"/>
  <c r="K18" i="24"/>
  <c r="F18" i="24"/>
  <c r="L17" i="24"/>
  <c r="K17" i="24"/>
  <c r="F17" i="24"/>
  <c r="L15" i="24"/>
  <c r="K15" i="24"/>
  <c r="F15" i="24"/>
  <c r="L14" i="24"/>
  <c r="K14" i="24"/>
  <c r="F14" i="24"/>
  <c r="L13" i="24"/>
  <c r="K13" i="24"/>
  <c r="F13" i="24"/>
  <c r="F12" i="24"/>
  <c r="R10" i="24"/>
  <c r="L10" i="24"/>
  <c r="K10" i="24"/>
  <c r="F10" i="24"/>
  <c r="F9" i="24"/>
  <c r="F8" i="24"/>
  <c r="O6" i="24"/>
  <c r="N6" i="24"/>
  <c r="M6" i="24"/>
  <c r="E6" i="24"/>
  <c r="L16" i="26" l="1"/>
  <c r="F11" i="26"/>
  <c r="L19" i="25"/>
  <c r="G48" i="24"/>
  <c r="F13" i="25"/>
  <c r="F12" i="26"/>
  <c r="K6" i="24"/>
  <c r="F12" i="25"/>
  <c r="G6" i="24"/>
  <c r="K48" i="24"/>
  <c r="L6" i="24"/>
  <c r="H6" i="24"/>
  <c r="E19" i="25"/>
  <c r="E16" i="26"/>
  <c r="K19" i="25"/>
  <c r="H16" i="26"/>
  <c r="H19" i="25"/>
  <c r="L48" i="24"/>
  <c r="F30" i="24"/>
  <c r="H48" i="24"/>
  <c r="D6" i="24"/>
  <c r="F6" i="24" s="1"/>
  <c r="J20" i="12" l="1"/>
  <c r="K5" i="7"/>
  <c r="K10" i="7" s="1"/>
  <c r="J6" i="6" l="1"/>
  <c r="J9" i="6" l="1"/>
  <c r="J8" i="6"/>
  <c r="O37" i="14"/>
  <c r="Q7" i="6" s="1"/>
  <c r="N26" i="3" l="1"/>
  <c r="G8" i="11" s="1"/>
  <c r="K6" i="6"/>
  <c r="M6" i="6" s="1"/>
  <c r="K7" i="6"/>
  <c r="M7" i="6" s="1"/>
  <c r="M8" i="6"/>
  <c r="K9" i="6"/>
  <c r="M9" i="6" s="1"/>
  <c r="K10" i="6"/>
  <c r="M10" i="6" s="1"/>
  <c r="Q8" i="3"/>
  <c r="F57" i="14"/>
  <c r="F56" i="14"/>
  <c r="F55" i="14"/>
  <c r="F54" i="14"/>
  <c r="F53" i="14"/>
  <c r="F52" i="14"/>
  <c r="F51" i="14"/>
  <c r="G50" i="14"/>
  <c r="E50" i="14"/>
  <c r="H50" i="14" s="1"/>
  <c r="G49" i="14"/>
  <c r="E49" i="14"/>
  <c r="H49" i="14" s="1"/>
  <c r="G48" i="14"/>
  <c r="E48" i="14"/>
  <c r="H48" i="14" s="1"/>
  <c r="G47" i="14"/>
  <c r="F16" i="13" s="1"/>
  <c r="E47" i="14"/>
  <c r="H47" i="14" s="1"/>
  <c r="G16" i="13" s="1"/>
  <c r="E46" i="14"/>
  <c r="P8" i="6"/>
  <c r="I8" i="6"/>
  <c r="C8" i="6"/>
  <c r="N43" i="14"/>
  <c r="M16" i="13" s="1"/>
  <c r="E43" i="14"/>
  <c r="E37" i="14" s="1"/>
  <c r="D7" i="6" s="1"/>
  <c r="L41" i="14"/>
  <c r="K16" i="13" s="1"/>
  <c r="K41" i="14"/>
  <c r="J16" i="13" s="1"/>
  <c r="F41" i="14"/>
  <c r="L40" i="14"/>
  <c r="K40" i="14"/>
  <c r="F40" i="14"/>
  <c r="L39" i="14"/>
  <c r="K39" i="14"/>
  <c r="F39" i="14"/>
  <c r="I7" i="6"/>
  <c r="H37" i="14"/>
  <c r="G37" i="14"/>
  <c r="E7" i="6" s="1"/>
  <c r="D37" i="14"/>
  <c r="C7" i="6" s="1"/>
  <c r="E32" i="14"/>
  <c r="F31" i="14"/>
  <c r="D30" i="14"/>
  <c r="F29" i="14"/>
  <c r="H28" i="14"/>
  <c r="L28" i="14" s="1"/>
  <c r="G28" i="14"/>
  <c r="K28" i="14" s="1"/>
  <c r="F28" i="14"/>
  <c r="H27" i="14"/>
  <c r="G27" i="14"/>
  <c r="F27" i="14"/>
  <c r="F26" i="14"/>
  <c r="F25" i="14"/>
  <c r="F24" i="14"/>
  <c r="F23" i="14"/>
  <c r="F48" i="14" l="1"/>
  <c r="F30" i="14"/>
  <c r="C14" i="13"/>
  <c r="D6" i="14"/>
  <c r="K27" i="14"/>
  <c r="F14" i="13"/>
  <c r="G6" i="14"/>
  <c r="F32" i="14"/>
  <c r="E6" i="14"/>
  <c r="L27" i="14"/>
  <c r="G14" i="13"/>
  <c r="H6" i="14"/>
  <c r="D16" i="13"/>
  <c r="E15" i="13"/>
  <c r="F46" i="14"/>
  <c r="K37" i="14"/>
  <c r="G7" i="6" s="1"/>
  <c r="M25" i="6"/>
  <c r="F7" i="6"/>
  <c r="N37" i="14"/>
  <c r="F47" i="14"/>
  <c r="F50" i="14"/>
  <c r="L37" i="14"/>
  <c r="J7" i="6" s="1"/>
  <c r="H7" i="10" s="1"/>
  <c r="F49" i="14"/>
  <c r="F37" i="14"/>
  <c r="K20" i="12"/>
  <c r="I20" i="12"/>
  <c r="H20" i="12"/>
  <c r="E20" i="12"/>
  <c r="D20" i="12"/>
  <c r="D41" i="12" s="1"/>
  <c r="C20" i="12"/>
  <c r="K4" i="8"/>
  <c r="O6" i="7"/>
  <c r="N6" i="7"/>
  <c r="I6" i="7"/>
  <c r="H6" i="7"/>
  <c r="G6" i="7"/>
  <c r="F6" i="7"/>
  <c r="E6" i="7"/>
  <c r="D6" i="7"/>
  <c r="C6" i="7"/>
  <c r="O5" i="7"/>
  <c r="F7" i="10" s="1"/>
  <c r="N5" i="7"/>
  <c r="I5" i="7"/>
  <c r="H5" i="7"/>
  <c r="G5" i="7"/>
  <c r="F5" i="7"/>
  <c r="D7" i="10" s="1"/>
  <c r="E5" i="7"/>
  <c r="D5" i="7"/>
  <c r="C5" i="7"/>
  <c r="N25" i="6"/>
  <c r="L6" i="7"/>
  <c r="K26" i="3"/>
  <c r="M26" i="3"/>
  <c r="S26" i="3"/>
  <c r="H8" i="11" s="1"/>
  <c r="R26" i="3"/>
  <c r="T8" i="3"/>
  <c r="T6" i="3"/>
  <c r="B4" i="8"/>
  <c r="K14" i="13" l="1"/>
  <c r="L6" i="14"/>
  <c r="H6" i="6" s="1"/>
  <c r="J14" i="13"/>
  <c r="K6" i="14"/>
  <c r="B5" i="8"/>
  <c r="B9" i="8" s="1"/>
  <c r="H7" i="6"/>
  <c r="C5" i="8"/>
  <c r="I6" i="6"/>
  <c r="D5" i="8" l="1"/>
  <c r="I9" i="6"/>
  <c r="P9" i="6"/>
  <c r="Q9" i="6"/>
  <c r="E62" i="14" l="1"/>
  <c r="E61" i="14"/>
  <c r="E44" i="14" l="1"/>
  <c r="D17" i="13"/>
  <c r="C4" i="8"/>
  <c r="C9" i="8" s="1"/>
  <c r="D9" i="8" s="1"/>
  <c r="D8" i="6"/>
  <c r="D4" i="8" l="1"/>
  <c r="B25" i="6"/>
  <c r="K6" i="9"/>
  <c r="B6" i="9"/>
  <c r="B5" i="9"/>
  <c r="J10" i="7"/>
  <c r="T10" i="3"/>
  <c r="T9" i="3"/>
  <c r="T7" i="3"/>
  <c r="K24" i="4" l="1"/>
  <c r="K5" i="8"/>
  <c r="K9" i="8" s="1"/>
  <c r="K25" i="6"/>
  <c r="E7" i="10"/>
  <c r="K5" i="9"/>
  <c r="K10" i="9" s="1"/>
  <c r="B10" i="9"/>
  <c r="L10" i="7" l="1"/>
  <c r="O6" i="13"/>
  <c r="P13" i="12"/>
  <c r="O20" i="12"/>
  <c r="O41" i="12" s="1"/>
  <c r="N20" i="12"/>
  <c r="N41" i="12" s="1"/>
  <c r="K41" i="12"/>
  <c r="M13" i="12"/>
  <c r="L20" i="12"/>
  <c r="L41" i="12" s="1"/>
  <c r="J41" i="12"/>
  <c r="I41" i="12"/>
  <c r="H41" i="12"/>
  <c r="E41" i="12"/>
  <c r="M8" i="12"/>
  <c r="F20" i="12"/>
  <c r="F41" i="12" s="1"/>
  <c r="R13" i="13" l="1"/>
  <c r="B20" i="12"/>
  <c r="B41" i="12" s="1"/>
  <c r="F20" i="10"/>
  <c r="F23" i="10" s="1"/>
  <c r="E20" i="10"/>
  <c r="E23" i="10" s="1"/>
  <c r="D20" i="10"/>
  <c r="D23" i="10" s="1"/>
  <c r="O10" i="7"/>
  <c r="I10" i="7"/>
  <c r="N10" i="7" l="1"/>
  <c r="B19" i="13"/>
  <c r="B40" i="13" s="1"/>
  <c r="M20" i="12"/>
  <c r="M41" i="12" s="1"/>
  <c r="P20" i="12"/>
  <c r="P41" i="12" s="1"/>
  <c r="E10" i="6"/>
  <c r="G10" i="6" s="1"/>
  <c r="Q10" i="6"/>
  <c r="D81" i="14"/>
  <c r="F90" i="14"/>
  <c r="F89" i="14"/>
  <c r="C9" i="6"/>
  <c r="D9" i="6"/>
  <c r="J10" i="6" l="1"/>
  <c r="P10" i="6" s="1"/>
  <c r="N91" i="14"/>
  <c r="D10" i="6"/>
  <c r="D6" i="9" s="1"/>
  <c r="N6" i="9"/>
  <c r="I20" i="10"/>
  <c r="F10" i="6"/>
  <c r="H10" i="6" s="1"/>
  <c r="I10" i="6"/>
  <c r="C10" i="6"/>
  <c r="C6" i="9" s="1"/>
  <c r="J6" i="9" l="1"/>
  <c r="M6" i="9" s="1"/>
  <c r="I6" i="9"/>
  <c r="L6" i="13"/>
  <c r="D6" i="13"/>
  <c r="H20" i="10"/>
  <c r="I25" i="6"/>
  <c r="M6" i="13"/>
  <c r="R6" i="13"/>
  <c r="C6" i="13"/>
  <c r="F63" i="14"/>
  <c r="F60" i="14"/>
  <c r="C26" i="3"/>
  <c r="G26" i="3"/>
  <c r="H26" i="3"/>
  <c r="L26" i="3"/>
  <c r="Q10" i="3"/>
  <c r="Q7" i="3"/>
  <c r="Q6" i="3"/>
  <c r="F26" i="3"/>
  <c r="E26" i="3"/>
  <c r="D26" i="3"/>
  <c r="B26" i="3"/>
  <c r="T26" i="3" s="1"/>
  <c r="R19" i="13" l="1"/>
  <c r="R40" i="13" s="1"/>
  <c r="R44" i="13" s="1"/>
  <c r="P6" i="6"/>
  <c r="Q6" i="13"/>
  <c r="I4" i="8"/>
  <c r="J4" i="8"/>
  <c r="Q9" i="3"/>
  <c r="J25" i="6" l="1"/>
  <c r="H23" i="10"/>
  <c r="I5" i="8"/>
  <c r="I9" i="8" s="1"/>
  <c r="I24" i="4"/>
  <c r="E4" i="8"/>
  <c r="B24" i="4"/>
  <c r="F4" i="8"/>
  <c r="E9" i="4"/>
  <c r="G9" i="4" s="1"/>
  <c r="F9" i="4"/>
  <c r="H9" i="4" s="1"/>
  <c r="D7" i="4"/>
  <c r="E5" i="8" l="1"/>
  <c r="E9" i="8" s="1"/>
  <c r="E24" i="4"/>
  <c r="H7" i="4"/>
  <c r="F8" i="4"/>
  <c r="F5" i="8" s="1"/>
  <c r="F9" i="8" s="1"/>
  <c r="C24" i="4"/>
  <c r="G4" i="8" l="1"/>
  <c r="J5" i="8"/>
  <c r="J9" i="8" s="1"/>
  <c r="J24" i="4"/>
  <c r="H4" i="8"/>
  <c r="F24" i="4"/>
  <c r="C13" i="13"/>
  <c r="C19" i="13" s="1"/>
  <c r="G8" i="4"/>
  <c r="G5" i="8" s="1"/>
  <c r="G9" i="8" l="1"/>
  <c r="G24" i="4"/>
  <c r="H8" i="4"/>
  <c r="F86" i="14"/>
  <c r="H76" i="14"/>
  <c r="L76" i="14" s="1"/>
  <c r="G76" i="14"/>
  <c r="K76" i="14" s="1"/>
  <c r="H75" i="14"/>
  <c r="L75" i="14" s="1"/>
  <c r="G75" i="14"/>
  <c r="K75" i="14" s="1"/>
  <c r="H74" i="14"/>
  <c r="L74" i="14" s="1"/>
  <c r="G74" i="14"/>
  <c r="K74" i="14" s="1"/>
  <c r="H73" i="14"/>
  <c r="L73" i="14" s="1"/>
  <c r="G73" i="14"/>
  <c r="K73" i="14" s="1"/>
  <c r="L59" i="14"/>
  <c r="K59" i="14"/>
  <c r="L58" i="14"/>
  <c r="K58" i="14"/>
  <c r="H59" i="14"/>
  <c r="G59" i="14"/>
  <c r="F59" i="14"/>
  <c r="H58" i="14"/>
  <c r="G58" i="14"/>
  <c r="F58" i="14"/>
  <c r="H44" i="14" l="1"/>
  <c r="G17" i="13"/>
  <c r="K44" i="14"/>
  <c r="G8" i="6" s="1"/>
  <c r="J17" i="13"/>
  <c r="L44" i="14"/>
  <c r="K17" i="13"/>
  <c r="F17" i="13"/>
  <c r="G44" i="14"/>
  <c r="E8" i="6" s="1"/>
  <c r="H5" i="8"/>
  <c r="H9" i="8" s="1"/>
  <c r="H24" i="4"/>
  <c r="C6" i="6"/>
  <c r="E6" i="6"/>
  <c r="H8" i="6" l="1"/>
  <c r="H5" i="9" s="1"/>
  <c r="F6" i="6"/>
  <c r="F8" i="6"/>
  <c r="G7" i="10" s="1"/>
  <c r="D6" i="6"/>
  <c r="D25" i="6" s="1"/>
  <c r="E91" i="14"/>
  <c r="C25" i="6"/>
  <c r="C5" i="9"/>
  <c r="G10" i="12"/>
  <c r="G11" i="12"/>
  <c r="G15" i="12"/>
  <c r="G16" i="12"/>
  <c r="G19" i="12"/>
  <c r="D5" i="9" l="1"/>
  <c r="D10" i="9" s="1"/>
  <c r="G20" i="12"/>
  <c r="G41" i="12" s="1"/>
  <c r="H11" i="19"/>
  <c r="J11" i="19" s="1"/>
  <c r="H9" i="19"/>
  <c r="E11" i="19"/>
  <c r="G11" i="19" s="1"/>
  <c r="I5" i="9"/>
  <c r="I10" i="9" s="1"/>
  <c r="F22" i="14"/>
  <c r="E17" i="13" s="1"/>
  <c r="F21" i="14"/>
  <c r="F20" i="14"/>
  <c r="F19" i="14"/>
  <c r="F18" i="14"/>
  <c r="F17" i="14"/>
  <c r="F15" i="14"/>
  <c r="F14" i="14"/>
  <c r="F13" i="14"/>
  <c r="F12" i="14"/>
  <c r="F11" i="14"/>
  <c r="E16" i="13" s="1"/>
  <c r="F10" i="14"/>
  <c r="F9" i="14"/>
  <c r="F8" i="14"/>
  <c r="O13" i="13"/>
  <c r="O19" i="13" s="1"/>
  <c r="I124" i="15"/>
  <c r="F122" i="15"/>
  <c r="I120" i="15"/>
  <c r="E118" i="15"/>
  <c r="E111" i="15"/>
  <c r="J108" i="15"/>
  <c r="E106" i="15"/>
  <c r="E105" i="15"/>
  <c r="J96" i="15"/>
  <c r="E94" i="15"/>
  <c r="E93" i="15"/>
  <c r="E88" i="15"/>
  <c r="F87" i="15"/>
  <c r="E87" i="15"/>
  <c r="P85" i="15"/>
  <c r="P84" i="15"/>
  <c r="P83" i="15"/>
  <c r="P82" i="15"/>
  <c r="P81" i="15"/>
  <c r="P80" i="15"/>
  <c r="P79" i="15"/>
  <c r="P78" i="15"/>
  <c r="P77" i="15"/>
  <c r="P76" i="15"/>
  <c r="P75" i="15"/>
  <c r="P74" i="15"/>
  <c r="P73" i="15"/>
  <c r="P72" i="15"/>
  <c r="P71" i="15"/>
  <c r="P70" i="15"/>
  <c r="P68" i="15"/>
  <c r="P67" i="15"/>
  <c r="P66" i="15"/>
  <c r="P65" i="15"/>
  <c r="Q64" i="15"/>
  <c r="O64" i="15"/>
  <c r="N64" i="15"/>
  <c r="M64" i="15"/>
  <c r="L64" i="15"/>
  <c r="K64" i="15"/>
  <c r="J64" i="15"/>
  <c r="I64" i="15"/>
  <c r="H119" i="15" s="1"/>
  <c r="H64" i="15"/>
  <c r="G119" i="15" s="1"/>
  <c r="S63" i="15"/>
  <c r="S62" i="15"/>
  <c r="S61" i="15"/>
  <c r="K61" i="15"/>
  <c r="M61" i="15" s="1"/>
  <c r="J61" i="15"/>
  <c r="L61" i="15" s="1"/>
  <c r="S60" i="15"/>
  <c r="K60" i="15"/>
  <c r="M60" i="15" s="1"/>
  <c r="J60" i="15"/>
  <c r="L60" i="15" s="1"/>
  <c r="S59" i="15"/>
  <c r="K59" i="15"/>
  <c r="M59" i="15" s="1"/>
  <c r="J59" i="15"/>
  <c r="L59" i="15" s="1"/>
  <c r="S58" i="15"/>
  <c r="Q58" i="15"/>
  <c r="Q55" i="15" s="1"/>
  <c r="J114" i="15" s="1"/>
  <c r="K58" i="15"/>
  <c r="M58" i="15" s="1"/>
  <c r="J58" i="15"/>
  <c r="L58" i="15" s="1"/>
  <c r="S57" i="15"/>
  <c r="K57" i="15"/>
  <c r="M57" i="15" s="1"/>
  <c r="J57" i="15"/>
  <c r="L57" i="15" s="1"/>
  <c r="O55" i="15"/>
  <c r="N55" i="15"/>
  <c r="I55" i="15"/>
  <c r="H106" i="15" s="1"/>
  <c r="H55" i="15"/>
  <c r="G112" i="15" s="1"/>
  <c r="D55" i="15"/>
  <c r="C55" i="15"/>
  <c r="B55" i="15"/>
  <c r="A55" i="15"/>
  <c r="S54" i="15"/>
  <c r="P54" i="15"/>
  <c r="P53" i="15"/>
  <c r="U52" i="15"/>
  <c r="P52" i="15"/>
  <c r="P51" i="15"/>
  <c r="P50" i="15"/>
  <c r="P49" i="15"/>
  <c r="P48" i="15"/>
  <c r="P47" i="15"/>
  <c r="P46" i="15"/>
  <c r="U45" i="15"/>
  <c r="P45" i="15"/>
  <c r="I45" i="15"/>
  <c r="J44" i="15"/>
  <c r="I44" i="15"/>
  <c r="P44" i="15" s="1"/>
  <c r="J43" i="15"/>
  <c r="I43" i="15"/>
  <c r="P43" i="15" s="1"/>
  <c r="J42" i="15"/>
  <c r="I42" i="15"/>
  <c r="K42" i="15" s="1"/>
  <c r="J41" i="15"/>
  <c r="I41" i="15"/>
  <c r="P41" i="15" s="1"/>
  <c r="P40" i="15"/>
  <c r="I40" i="15"/>
  <c r="P39" i="15"/>
  <c r="Q38" i="15"/>
  <c r="O38" i="15"/>
  <c r="N38" i="15"/>
  <c r="M38" i="15"/>
  <c r="R38" i="15" s="1"/>
  <c r="L38" i="15"/>
  <c r="H38" i="15"/>
  <c r="G106" i="15" s="1"/>
  <c r="P37" i="15"/>
  <c r="P36" i="15"/>
  <c r="P35" i="15"/>
  <c r="P34" i="15"/>
  <c r="M34" i="15"/>
  <c r="L34" i="15"/>
  <c r="P33" i="15"/>
  <c r="M33" i="15"/>
  <c r="L33" i="15"/>
  <c r="P32" i="15"/>
  <c r="M32" i="15"/>
  <c r="L32" i="15"/>
  <c r="Q31" i="15"/>
  <c r="Q30" i="15" s="1"/>
  <c r="O31" i="15"/>
  <c r="O30" i="15" s="1"/>
  <c r="N31" i="15"/>
  <c r="N30" i="15" s="1"/>
  <c r="R30" i="15"/>
  <c r="K30" i="15"/>
  <c r="J30" i="15"/>
  <c r="I30" i="15"/>
  <c r="H100" i="15" s="1"/>
  <c r="H30" i="15"/>
  <c r="G100" i="15" s="1"/>
  <c r="P29" i="15"/>
  <c r="P28" i="15"/>
  <c r="M27" i="15"/>
  <c r="O27" i="15" s="1"/>
  <c r="P26" i="15"/>
  <c r="M26" i="15"/>
  <c r="P25" i="15"/>
  <c r="P24" i="15"/>
  <c r="M24" i="15"/>
  <c r="L24" i="15"/>
  <c r="P23" i="15"/>
  <c r="M23" i="15"/>
  <c r="L23" i="15"/>
  <c r="S22" i="15"/>
  <c r="P22" i="15"/>
  <c r="M22" i="15"/>
  <c r="L22" i="15"/>
  <c r="Q21" i="15"/>
  <c r="K97" i="15" s="1"/>
  <c r="P21" i="15"/>
  <c r="M21" i="15"/>
  <c r="P20" i="15"/>
  <c r="M20" i="15"/>
  <c r="P19" i="15"/>
  <c r="M19" i="15"/>
  <c r="L19" i="15"/>
  <c r="P18" i="15"/>
  <c r="M18" i="15"/>
  <c r="L18" i="15"/>
  <c r="P17" i="15"/>
  <c r="P16" i="15"/>
  <c r="M16" i="15"/>
  <c r="L16" i="15"/>
  <c r="P15" i="15"/>
  <c r="M15" i="15"/>
  <c r="L15" i="15"/>
  <c r="V14" i="15"/>
  <c r="P14" i="15"/>
  <c r="M14" i="15"/>
  <c r="L14" i="15"/>
  <c r="P13" i="15"/>
  <c r="P12" i="15"/>
  <c r="M12" i="15"/>
  <c r="L12" i="15"/>
  <c r="P11" i="15"/>
  <c r="M11" i="15"/>
  <c r="L11" i="15"/>
  <c r="N6" i="15"/>
  <c r="K6" i="15"/>
  <c r="J6" i="15"/>
  <c r="I6" i="15"/>
  <c r="H94" i="15" s="1"/>
  <c r="H6" i="15"/>
  <c r="G94" i="15" s="1"/>
  <c r="P8" i="12"/>
  <c r="B6" i="7"/>
  <c r="B5" i="7"/>
  <c r="E14" i="13" l="1"/>
  <c r="S56" i="15"/>
  <c r="J38" i="15"/>
  <c r="M13" i="13"/>
  <c r="L13" i="13"/>
  <c r="L19" i="13" s="1"/>
  <c r="M6" i="7"/>
  <c r="P6" i="7"/>
  <c r="P5" i="7"/>
  <c r="M5" i="7"/>
  <c r="E4" i="19"/>
  <c r="G4" i="19" s="1"/>
  <c r="C10" i="9"/>
  <c r="D91" i="14"/>
  <c r="K13" i="13"/>
  <c r="J13" i="13"/>
  <c r="H6" i="19"/>
  <c r="J6" i="19" s="1"/>
  <c r="G6" i="6"/>
  <c r="L30" i="15"/>
  <c r="H8" i="19"/>
  <c r="J8" i="19" s="1"/>
  <c r="C41" i="12"/>
  <c r="D13" i="13"/>
  <c r="D19" i="13" s="1"/>
  <c r="J9" i="19"/>
  <c r="F13" i="13"/>
  <c r="K43" i="15"/>
  <c r="S27" i="15"/>
  <c r="P31" i="15"/>
  <c r="P30" i="15" s="1"/>
  <c r="M30" i="15"/>
  <c r="M55" i="15"/>
  <c r="O6" i="15"/>
  <c r="R6" i="15" s="1"/>
  <c r="P27" i="15"/>
  <c r="K44" i="15"/>
  <c r="E122" i="15"/>
  <c r="M6" i="15"/>
  <c r="I94" i="15" s="1"/>
  <c r="I38" i="15"/>
  <c r="I86" i="15" s="1"/>
  <c r="Q6" i="15"/>
  <c r="Q86" i="15" s="1"/>
  <c r="L6" i="15"/>
  <c r="N86" i="15"/>
  <c r="L55" i="15"/>
  <c r="P42" i="15"/>
  <c r="P38" i="15" s="1"/>
  <c r="R64" i="15"/>
  <c r="H86" i="15"/>
  <c r="H112" i="15"/>
  <c r="I112" i="15" s="1"/>
  <c r="K41" i="15"/>
  <c r="J55" i="15"/>
  <c r="J86" i="15" s="1"/>
  <c r="K55" i="15"/>
  <c r="R55" i="15"/>
  <c r="Q13" i="13" l="1"/>
  <c r="M19" i="13"/>
  <c r="M86" i="15"/>
  <c r="Q8" i="6"/>
  <c r="Q25" i="6" s="1"/>
  <c r="O91" i="14"/>
  <c r="O86" i="15"/>
  <c r="K38" i="15"/>
  <c r="K86" i="15" s="1"/>
  <c r="G13" i="13"/>
  <c r="L86" i="15"/>
  <c r="R86" i="15"/>
  <c r="I106" i="15"/>
  <c r="N5" i="9" l="1"/>
  <c r="N10" i="9" s="1"/>
  <c r="I7" i="10"/>
  <c r="I23" i="10" s="1"/>
  <c r="F88" i="14"/>
  <c r="F87" i="14"/>
  <c r="F85" i="14"/>
  <c r="F84" i="14"/>
  <c r="F83" i="14"/>
  <c r="E9" i="13" s="1"/>
  <c r="F72" i="14"/>
  <c r="H71" i="14"/>
  <c r="L71" i="14" s="1"/>
  <c r="G71" i="14"/>
  <c r="K71" i="14" s="1"/>
  <c r="F71" i="14"/>
  <c r="H70" i="14"/>
  <c r="L70" i="14" s="1"/>
  <c r="G70" i="14"/>
  <c r="K70" i="14" s="1"/>
  <c r="F70" i="14"/>
  <c r="H69" i="14"/>
  <c r="L69" i="14" s="1"/>
  <c r="G69" i="14"/>
  <c r="K69" i="14" s="1"/>
  <c r="F69" i="14"/>
  <c r="H68" i="14"/>
  <c r="L68" i="14" s="1"/>
  <c r="G68" i="14"/>
  <c r="K68" i="14" s="1"/>
  <c r="F68" i="14"/>
  <c r="H67" i="14"/>
  <c r="G67" i="14"/>
  <c r="F67" i="14"/>
  <c r="G65" i="14" l="1"/>
  <c r="H65" i="14"/>
  <c r="F65" i="14"/>
  <c r="E8" i="13"/>
  <c r="F8" i="13"/>
  <c r="G8" i="13"/>
  <c r="E9" i="6"/>
  <c r="E6" i="9" s="1"/>
  <c r="G5" i="9"/>
  <c r="E5" i="9"/>
  <c r="J5" i="9"/>
  <c r="F5" i="9"/>
  <c r="K67" i="14"/>
  <c r="L67" i="14"/>
  <c r="L65" i="14" l="1"/>
  <c r="K8" i="13" s="1"/>
  <c r="K65" i="14"/>
  <c r="J8" i="13" s="1"/>
  <c r="H9" i="6"/>
  <c r="H6" i="9" s="1"/>
  <c r="H10" i="9" s="1"/>
  <c r="L91" i="14"/>
  <c r="F9" i="6"/>
  <c r="G20" i="10" s="1"/>
  <c r="G23" i="10" s="1"/>
  <c r="H91" i="14"/>
  <c r="G9" i="6"/>
  <c r="G25" i="6" s="1"/>
  <c r="K91" i="14"/>
  <c r="L10" i="9"/>
  <c r="E10" i="9"/>
  <c r="M5" i="9"/>
  <c r="J10" i="9"/>
  <c r="M10" i="9" s="1"/>
  <c r="H4" i="19"/>
  <c r="J4" i="19" s="1"/>
  <c r="G91" i="14"/>
  <c r="E25" i="6"/>
  <c r="F6" i="13"/>
  <c r="F19" i="13" s="1"/>
  <c r="E6" i="19"/>
  <c r="E3" i="19" s="1"/>
  <c r="G3" i="19" s="1"/>
  <c r="G6" i="9"/>
  <c r="G10" i="9" s="1"/>
  <c r="H25" i="6" l="1"/>
  <c r="E9" i="19"/>
  <c r="E8" i="19" s="1"/>
  <c r="F6" i="9"/>
  <c r="F10" i="9" s="1"/>
  <c r="F25" i="6"/>
  <c r="G6" i="19"/>
  <c r="H3" i="19"/>
  <c r="J3" i="19" s="1"/>
  <c r="J6" i="13"/>
  <c r="J19" i="13" s="1"/>
  <c r="K6" i="13"/>
  <c r="K19" i="13" s="1"/>
  <c r="G6" i="13"/>
  <c r="G19" i="13" s="1"/>
  <c r="G9" i="19"/>
  <c r="H13" i="19" l="1"/>
  <c r="J13" i="19" s="1"/>
  <c r="G8" i="19"/>
  <c r="E13" i="19"/>
  <c r="G13" i="19" s="1"/>
  <c r="C40" i="13" l="1"/>
  <c r="H10" i="7" l="1"/>
  <c r="D40" i="13"/>
  <c r="F10" i="7"/>
  <c r="B10" i="7"/>
  <c r="M10" i="7" s="1"/>
  <c r="P10" i="7" l="1"/>
  <c r="G40" i="13"/>
  <c r="J40" i="13"/>
  <c r="F40" i="13"/>
  <c r="E4" i="18"/>
  <c r="L40" i="13"/>
  <c r="L44" i="13" s="1"/>
  <c r="O40" i="13"/>
  <c r="C10" i="7"/>
  <c r="G10" i="7"/>
  <c r="E10" i="7"/>
  <c r="D10" i="7"/>
  <c r="K40" i="13" l="1"/>
  <c r="G11" i="2"/>
  <c r="F10" i="5"/>
  <c r="F9" i="5" s="1"/>
  <c r="F5" i="5"/>
  <c r="F4" i="5" s="1"/>
  <c r="E9" i="5"/>
  <c r="E4" i="5"/>
  <c r="F14" i="5" l="1"/>
  <c r="E14" i="5"/>
  <c r="M40" i="13" l="1"/>
  <c r="P40" i="13"/>
  <c r="M44" i="13" l="1"/>
</calcChain>
</file>

<file path=xl/comments1.xml><?xml version="1.0" encoding="utf-8"?>
<comments xmlns="http://schemas.openxmlformats.org/spreadsheetml/2006/main">
  <authors>
    <author>Автор</author>
  </authors>
  <commentList>
    <comment ref="N6" authorId="0" shapeId="0">
      <text>
        <r>
          <rPr>
            <b/>
            <sz val="9"/>
            <color indexed="81"/>
            <rFont val="Segoe UI"/>
            <family val="2"/>
            <charset val="204"/>
          </rPr>
          <t>Автор:</t>
        </r>
        <r>
          <rPr>
            <sz val="9"/>
            <color indexed="81"/>
            <rFont val="Segoe UI"/>
            <family val="2"/>
            <charset val="204"/>
          </rPr>
          <t xml:space="preserve">
от които 4 бр. Отказани за изпълнение</t>
        </r>
      </text>
    </comment>
    <comment ref="L7" authorId="0" shapeId="0">
      <text>
        <r>
          <rPr>
            <b/>
            <sz val="9"/>
            <color indexed="81"/>
            <rFont val="Segoe UI"/>
            <family val="2"/>
            <charset val="204"/>
          </rPr>
          <t>Автор:</t>
        </r>
        <r>
          <rPr>
            <sz val="9"/>
            <color indexed="81"/>
            <rFont val="Segoe UI"/>
            <family val="2"/>
            <charset val="204"/>
          </rPr>
          <t xml:space="preserve">
Отказан за изпълнение</t>
        </r>
      </text>
    </comment>
    <comment ref="N7" authorId="0" shapeId="0">
      <text>
        <r>
          <rPr>
            <b/>
            <sz val="9"/>
            <color indexed="81"/>
            <rFont val="Segoe UI"/>
            <family val="2"/>
            <charset val="204"/>
          </rPr>
          <t>Автор:</t>
        </r>
        <r>
          <rPr>
            <sz val="9"/>
            <color indexed="81"/>
            <rFont val="Segoe UI"/>
            <family val="2"/>
            <charset val="204"/>
          </rPr>
          <t xml:space="preserve">
Отказан за изпълнение -1 бр.</t>
        </r>
      </text>
    </comment>
    <comment ref="H8" authorId="0" shapeId="0">
      <text>
        <r>
          <rPr>
            <b/>
            <sz val="9"/>
            <color indexed="81"/>
            <rFont val="Segoe UI"/>
            <family val="2"/>
            <charset val="204"/>
          </rPr>
          <t>Автор:</t>
        </r>
        <r>
          <rPr>
            <sz val="9"/>
            <color indexed="81"/>
            <rFont val="Segoe UI"/>
            <family val="2"/>
            <charset val="204"/>
          </rPr>
          <t xml:space="preserve">
от които 3 бр. откозани от кандидатите
и 3 бр. в оценка от ДФЗ</t>
        </r>
      </text>
    </comment>
    <comment ref="L8" authorId="0" shapeId="0">
      <text>
        <r>
          <rPr>
            <b/>
            <sz val="9"/>
            <color indexed="81"/>
            <rFont val="Segoe UI"/>
            <family val="2"/>
            <charset val="204"/>
          </rPr>
          <t>Автор:</t>
        </r>
        <r>
          <rPr>
            <sz val="9"/>
            <color indexed="81"/>
            <rFont val="Segoe UI"/>
            <family val="2"/>
            <charset val="204"/>
          </rPr>
          <t xml:space="preserve">
2 бр. отказани проекти и 1 договор
</t>
        </r>
      </text>
    </comment>
    <comment ref="N8" authorId="0" shapeId="0">
      <text>
        <r>
          <rPr>
            <b/>
            <sz val="9"/>
            <color indexed="81"/>
            <rFont val="Segoe UI"/>
            <family val="2"/>
            <charset val="204"/>
          </rPr>
          <t>Автор:</t>
        </r>
        <r>
          <rPr>
            <sz val="9"/>
            <color indexed="81"/>
            <rFont val="Segoe UI"/>
            <family val="2"/>
            <charset val="204"/>
          </rPr>
          <t xml:space="preserve">
от които 1 бр. отказан договор от бенефициентите</t>
        </r>
      </text>
    </comment>
    <comment ref="H10" authorId="0" shapeId="0">
      <text>
        <r>
          <rPr>
            <b/>
            <sz val="9"/>
            <color indexed="81"/>
            <rFont val="Segoe UI"/>
            <family val="2"/>
            <charset val="204"/>
          </rPr>
          <t>Автор:</t>
        </r>
        <r>
          <rPr>
            <sz val="9"/>
            <color indexed="81"/>
            <rFont val="Segoe UI"/>
            <family val="2"/>
            <charset val="204"/>
          </rPr>
          <t xml:space="preserve">
от които 1 в оценка от ДФЗ</t>
        </r>
      </text>
    </comment>
    <comment ref="N10" authorId="0" shapeId="0">
      <text>
        <r>
          <rPr>
            <b/>
            <sz val="9"/>
            <color indexed="81"/>
            <rFont val="Segoe UI"/>
            <family val="2"/>
            <charset val="204"/>
          </rPr>
          <t>Автор:</t>
        </r>
        <r>
          <rPr>
            <sz val="9"/>
            <color indexed="81"/>
            <rFont val="Segoe UI"/>
            <family val="2"/>
            <charset val="204"/>
          </rPr>
          <t xml:space="preserve">
от които 3 бр. отказани за изпълнение от община Крушари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G5" authorId="0" shapeId="0">
      <text>
        <r>
          <rPr>
            <b/>
            <sz val="9"/>
            <color indexed="81"/>
            <rFont val="Segoe UI"/>
            <family val="2"/>
            <charset val="204"/>
          </rPr>
          <t>Автор:</t>
        </r>
        <r>
          <rPr>
            <sz val="9"/>
            <color indexed="81"/>
            <rFont val="Segoe UI"/>
            <family val="2"/>
            <charset val="204"/>
          </rPr>
          <t xml:space="preserve">
Разликата от 207658,34 лв. са за резервни проекти - 2 бр.
</t>
        </r>
      </text>
    </comment>
    <comment ref="H5" authorId="0" shapeId="0">
      <text>
        <r>
          <rPr>
            <b/>
            <sz val="9"/>
            <color indexed="81"/>
            <rFont val="Segoe UI"/>
            <family val="2"/>
            <charset val="204"/>
          </rPr>
          <t>Автор:</t>
        </r>
        <r>
          <rPr>
            <sz val="9"/>
            <color indexed="81"/>
            <rFont val="Segoe UI"/>
            <family val="2"/>
            <charset val="204"/>
          </rPr>
          <t xml:space="preserve">
Разликата от 100867,17
 лв. са за резервни проекти - 2 бр.</t>
        </r>
      </text>
    </comment>
    <comment ref="J6" authorId="0" shapeId="0">
      <text>
        <r>
          <rPr>
            <b/>
            <sz val="9"/>
            <color indexed="81"/>
            <rFont val="Segoe UI"/>
            <family val="2"/>
            <charset val="204"/>
          </rPr>
          <t>Автор:</t>
        </r>
        <r>
          <rPr>
            <sz val="9"/>
            <color indexed="81"/>
            <rFont val="Segoe UI"/>
            <family val="2"/>
            <charset val="204"/>
          </rPr>
          <t xml:space="preserve">
1 бр. от договорите е отказан за изпълнение на стойност 41600 БФП</t>
        </r>
      </text>
    </comment>
  </commentList>
</comments>
</file>

<file path=xl/comments3.xml><?xml version="1.0" encoding="utf-8"?>
<comments xmlns="http://schemas.openxmlformats.org/spreadsheetml/2006/main">
  <authors>
    <author>Автор</author>
  </authors>
  <commentList>
    <comment ref="K6" authorId="0" shapeId="0">
      <text>
        <r>
          <rPr>
            <b/>
            <sz val="9"/>
            <color indexed="81"/>
            <rFont val="Segoe UI"/>
            <family val="2"/>
            <charset val="204"/>
          </rPr>
          <t>Автор:</t>
        </r>
        <r>
          <rPr>
            <sz val="9"/>
            <color indexed="81"/>
            <rFont val="Segoe UI"/>
            <family val="2"/>
            <charset val="204"/>
          </rPr>
          <t xml:space="preserve">
3 бр. - отказани за изпълнение - 170942,68 лв</t>
        </r>
      </text>
    </comment>
    <comment ref="N6" authorId="0" shapeId="0">
      <text>
        <r>
          <rPr>
            <b/>
            <sz val="9"/>
            <color indexed="81"/>
            <rFont val="Segoe UI"/>
            <family val="2"/>
            <charset val="204"/>
          </rPr>
          <t>Автор:</t>
        </r>
        <r>
          <rPr>
            <sz val="9"/>
            <color indexed="81"/>
            <rFont val="Segoe UI"/>
            <family val="2"/>
            <charset val="204"/>
          </rPr>
          <t xml:space="preserve">
РЕСУРСА Е ФОРМИРАН В РЕЗУЛТАТ НА ОТКАЗ ОТ СТРАНА НА БЕНЕФИЦИЕНТИ ЗА ИЗПЪЛНЕНИЕ НА ДОГОВОРИ</t>
        </r>
      </text>
    </comment>
    <comment ref="K7" authorId="0" shapeId="0">
      <text>
        <r>
          <rPr>
            <b/>
            <sz val="9"/>
            <color indexed="81"/>
            <rFont val="Segoe UI"/>
            <family val="2"/>
            <charset val="204"/>
          </rPr>
          <t>Автор:</t>
        </r>
        <r>
          <rPr>
            <sz val="9"/>
            <color indexed="81"/>
            <rFont val="Segoe UI"/>
            <family val="2"/>
            <charset val="204"/>
          </rPr>
          <t xml:space="preserve">
Отказан за изпълнение</t>
        </r>
      </text>
    </comment>
    <comment ref="N9" authorId="0" shapeId="0">
      <text>
        <r>
          <rPr>
            <b/>
            <sz val="9"/>
            <color indexed="81"/>
            <rFont val="Segoe UI"/>
            <family val="2"/>
            <charset val="204"/>
          </rPr>
          <t>Автор:</t>
        </r>
        <r>
          <rPr>
            <sz val="9"/>
            <color indexed="81"/>
            <rFont val="Segoe UI"/>
            <family val="2"/>
            <charset val="204"/>
          </rPr>
          <t xml:space="preserve">
РЕСУРСЪТ Е ФОРМИРАН СЛЕД ПРОВЕДЕНИ ПРОЦЕДУРИ ПО РЕДА НА ЗОП</t>
        </r>
      </text>
    </comment>
  </commentList>
</comments>
</file>

<file path=xl/sharedStrings.xml><?xml version="1.0" encoding="utf-8"?>
<sst xmlns="http://schemas.openxmlformats.org/spreadsheetml/2006/main" count="1496" uniqueCount="630">
  <si>
    <t>Индикатор</t>
  </si>
  <si>
    <t>Цел за периода 2014 – 2020 според СВОМР</t>
  </si>
  <si>
    <t>Планирани съгласно заявления за подпомагане, одобрени от МИГ за периода на доклада</t>
  </si>
  <si>
    <t>Планирани съгласно заявления за подпомагане, одобрени от МИГ за периода от подписване на СВОМР</t>
  </si>
  <si>
    <t>Постигнато за периода на годишния доклад (за изплатени проекти)</t>
  </si>
  <si>
    <t>Постигнато за периода от подписване на СВОМР (за изплатени проекти)</t>
  </si>
  <si>
    <t>Мъже</t>
  </si>
  <si>
    <t>Жени</t>
  </si>
  <si>
    <t>Работни места, разкрити в резултат от подпомагане на проектите, финансираниот:</t>
  </si>
  <si>
    <t xml:space="preserve">ЕЗФРСР </t>
  </si>
  <si>
    <t>ОПОС</t>
  </si>
  <si>
    <t>ОПРЧР</t>
  </si>
  <si>
    <t>ОПИК</t>
  </si>
  <si>
    <t>ОПНОИР</t>
  </si>
  <si>
    <t>ПМДР</t>
  </si>
  <si>
    <t>Брой съгласно СВОМР</t>
  </si>
  <si>
    <t>Планиран брой съгласно заявления за подпомагане, одобрени от МИГ за периода на доклада</t>
  </si>
  <si>
    <t>Планиран брой съгласно заявления за подпомагане, одобрени от МИГ за периода от подписване на СВОМР</t>
  </si>
  <si>
    <t>Брой съгласно изплатени проекти за периода на доклада</t>
  </si>
  <si>
    <t>Брой съгласно изплатени проекти за периода от подписване на СВОМР</t>
  </si>
  <si>
    <t>Жители, които ще се ползват от подобрени ИТ услуги/инфраструктура;</t>
  </si>
  <si>
    <t>Жители, които ще се ползват от подобрени услуги/инфраструктура, различни от тези, свързани с ИТ.</t>
  </si>
  <si>
    <t>Приоритет и специфични цели</t>
  </si>
  <si>
    <t>Общо за периода на стратегията</t>
  </si>
  <si>
    <t>лева</t>
  </si>
  <si>
    <t>%</t>
  </si>
  <si>
    <t xml:space="preserve">Приоритет 1: Насърчаване на местния бизнес за създаване на заетост, доходи и разнообразяване на икономическите дейности </t>
  </si>
  <si>
    <t>Специфична цел 1.1:</t>
  </si>
  <si>
    <t>Повишаване на конкурентноспособността на местното земеделие и добавяне на стойност при местните селскостопански продукти</t>
  </si>
  <si>
    <t>Мярка 4.1. и Мярка 4.2.</t>
  </si>
  <si>
    <t>Специфична цел 1.2:</t>
  </si>
  <si>
    <t>Подкрепа на предприемачеството за разнообразяване на бизнеса на територията</t>
  </si>
  <si>
    <t>Мярка 6.4.</t>
  </si>
  <si>
    <t>Приоритет 2: Развитие на благоприятна жизнена среда за социално приобщаване и общо подобряване на качеството на живот</t>
  </si>
  <si>
    <t>1 300 000</t>
  </si>
  <si>
    <t>Специфична цел 2.1:</t>
  </si>
  <si>
    <t>Подобряване на средата на живот и достъпа до услуги за населението в населените места</t>
  </si>
  <si>
    <t>Мярка 7.2.</t>
  </si>
  <si>
    <t>Специфична цел 2.2:</t>
  </si>
  <si>
    <t>Оползотворяване на местните традиции и наследство за постигане на устойчиви общности</t>
  </si>
  <si>
    <t>Мярка 19.7.6.</t>
  </si>
  <si>
    <t xml:space="preserve">ОБЩО ЗА ЦЯЛАТА СТРАТЕГИЯ </t>
  </si>
  <si>
    <t>Общо за отчетния период</t>
  </si>
  <si>
    <t>МЕРКИ ПО ФОНДОВЕ</t>
  </si>
  <si>
    <t xml:space="preserve">Цел за периода 2014 – 2020 </t>
  </si>
  <si>
    <t>(брой)</t>
  </si>
  <si>
    <t>Брой регистрирани заявления от кандидати за одобрение от МИГ</t>
  </si>
  <si>
    <t>Брой одобрени заявления от МИГ</t>
  </si>
  <si>
    <t>Брой внесени заявления от МИГ за одобрение от УО/ДФЗ</t>
  </si>
  <si>
    <t>Брой одобрени заявления от УО/ДФЗ</t>
  </si>
  <si>
    <t>Брой сключени договори с кандидати</t>
  </si>
  <si>
    <t>Процент на одобрение</t>
  </si>
  <si>
    <t>колона 12 разделена на колона 2</t>
  </si>
  <si>
    <t xml:space="preserve">Брой договори с изплатена субсидия </t>
  </si>
  <si>
    <t>Процент на изплащане</t>
  </si>
  <si>
    <t>колона 15 разделена на колона 2</t>
  </si>
  <si>
    <t>за отч. период</t>
  </si>
  <si>
    <t>от скл. на спораз.</t>
  </si>
  <si>
    <t xml:space="preserve">за отч. период </t>
  </si>
  <si>
    <t>Мерки, финансирани от ПРСР 2014 - 2020 г. (ЕЗФРСР)</t>
  </si>
  <si>
    <t>………</t>
  </si>
  <si>
    <t>Мерки, които не са част от ПРСР 2014 - 2020 г. , но са включени в Регламент (EC) № 1305/2013 (финансирани от ЕЗФРСР)</t>
  </si>
  <si>
    <t>Мерки, извън обхвата на мерките от Регламент (EC) № 1305/2013, но съответстващи на целите на регламента (финансирани от ЕЗФРСР)</t>
  </si>
  <si>
    <t>Мерки, финансирани от ОПОС (ЕФРР)</t>
  </si>
  <si>
    <t>Мерки, финансирани от ОПНОИР (ЕСФ)</t>
  </si>
  <si>
    <t>Мерки, финансирани от ОПРЧР (ЕСФ)</t>
  </si>
  <si>
    <t>Мерки, финансирани от ОПИК (ЕФРР)</t>
  </si>
  <si>
    <t>Мерки, финансирани от ПМДР (ЕФМДР)</t>
  </si>
  <si>
    <t>Общо:</t>
  </si>
  <si>
    <t>Подмярка 4.1. Подкрепа за инвестиции в земеделски стопанства</t>
  </si>
  <si>
    <t>Подмярка 4.2  Инвестиции в преработка/маркетинг на селскостопански продукти</t>
  </si>
  <si>
    <t>Подмярка 6.4. Инвестиции в подкрепа на неземеделски дейности</t>
  </si>
  <si>
    <t>Подмярка 7.2. Инвестиции в създаването, подобряването или разширяването на всички видове малка по мащаби инфраструктура</t>
  </si>
  <si>
    <t>Подмярка 19.7.6. Проучвания и инвестиции, свързани с възстановяване и подобряване на културното и природното наследство</t>
  </si>
  <si>
    <t>Заявен общ размер на разходите по заявления, подадени в МИГ</t>
  </si>
  <si>
    <t>Заявена субсидия по заявления, подадени в МИГ</t>
  </si>
  <si>
    <t>Интензитет на заявената помощ, %</t>
  </si>
  <si>
    <t>Одобрен общ размер на разходите по проект от МИГ</t>
  </si>
  <si>
    <t>Субсидия по проектите, одобрени от МИГ</t>
  </si>
  <si>
    <t>Заявен общ размер на разходите по проект към УО/ДФЗ</t>
  </si>
  <si>
    <t>Заявена субсидия към УО/ДФЗ</t>
  </si>
  <si>
    <t>Одобрен общ размер на разходите по проект от УО/ДФЗ</t>
  </si>
  <si>
    <t>Субсидия по проектите, одобрени от УО/ДФЗ</t>
  </si>
  <si>
    <t>Изплатена субсидия</t>
  </si>
  <si>
    <t>Одобрен бюджет на субсидията за целия период</t>
  </si>
  <si>
    <t>Сключени договори</t>
  </si>
  <si>
    <t>ОСТАТЪК</t>
  </si>
  <si>
    <t>ПРИОРИТЕТИ</t>
  </si>
  <si>
    <t>Брой регистрирани проекти от кандидати за одобрение от МИГ</t>
  </si>
  <si>
    <t>Приоритет …</t>
  </si>
  <si>
    <t>Приоритет 1: Насърчаване на местния бизнес за създаване на заетост, доходи и разнообразяване на икономическите дейности</t>
  </si>
  <si>
    <t>Заявена субсидия по проекти към МИГ</t>
  </si>
  <si>
    <t>Интензитет на заявената помощ</t>
  </si>
  <si>
    <t>Приоритет…</t>
  </si>
  <si>
    <t>……</t>
  </si>
  <si>
    <t>Приоритетина съюза за развитие на селските райони</t>
  </si>
  <si>
    <t>Области с поставен акцент, за които в най-голяма степен допринасят проектите</t>
  </si>
  <si>
    <t>Брой одобрени заявления от ДФЗ</t>
  </si>
  <si>
    <t>Субсидия по проектите, одобрени от МИГ в лв.</t>
  </si>
  <si>
    <t>Субсидия по проектите, одобрени от ДФЗ в лв.</t>
  </si>
  <si>
    <t>Изплатена субсидия в лв.</t>
  </si>
  <si>
    <t>Стимулиране на трансфера на знания и иновациите в областта на селското и горското стопанство и селските райони с акцент върху следните области:</t>
  </si>
  <si>
    <t>1А</t>
  </si>
  <si>
    <t>Стимулиране на иновациите, сътрудничеството и развитието на базата от знания в селските райони;</t>
  </si>
  <si>
    <t>1B</t>
  </si>
  <si>
    <t>Укрепване на връзките между селското стопанство, производството на храни, горското стопанство и научноизследователската дейност и иновациите, включително с цел подобряване на екологичното управление и екологичните показатели;</t>
  </si>
  <si>
    <t>1C</t>
  </si>
  <si>
    <t>Поощряване на ученето през целия живот и професионалното обучение в секторите на селското и горското стопанство;</t>
  </si>
  <si>
    <t>Повишаване на жизнеспособността на земеделските стопанства и конкурентоспособността на всички видове селскостопанска дейност във всички региони и насърчаване на новаторските технологии в селското стопанство и устойчивото управление на горите, с акцент върху следните области:</t>
  </si>
  <si>
    <t>2A</t>
  </si>
  <si>
    <t>Подобряване на икономическите резултати на всички земеделски стопанства и улесняване на преструктурирането и модернизирането на стопанствата, особено с оглед на увеличаването на пазарното участие и ориентация и на разнообразяването в селското стопанство;</t>
  </si>
  <si>
    <t>2B</t>
  </si>
  <si>
    <t>Улесняване на навлизането на земеделски стопани с подходяща квалификация в селскостопанския сектор, и по-специално приемствеността между поколенията;</t>
  </si>
  <si>
    <t>насърчаване на организацията на хранителната верига, включително преработката и предлагането на пазара на селскостопански продукти,на хуманното отношение към животните и управлението на риска в селското стопанство с акцент върху следните области:</t>
  </si>
  <si>
    <t>3A</t>
  </si>
  <si>
    <t>Подобряване на конкурентоспособността на първичните производители чрез по-доброто им интегриране в селскостопанската и хранителната верига посредством схеми за качество, които да добавят стойност към селскостопанските продукти, популяризиране на местните пазари и къси вериги на доставки, групи на производителите и организации и междубраншови организации;</t>
  </si>
  <si>
    <t>3B</t>
  </si>
  <si>
    <t>Подпомагане на превенцията и управлението на риска на стопанствата;</t>
  </si>
  <si>
    <t>Възстановяване, опазване и укрепване на екосистемите, свързани със селското и горското стопанство, с акцент върху следните области:</t>
  </si>
  <si>
    <t>4A</t>
  </si>
  <si>
    <t>Възстановяване, опазване и укрепване на биологичното разнообразие, включително в зони по „Натура 2000“ и в зони с природни или други специфични ограничения и земеделие с висока природна стойност, както и на състоянието на европейските ландшафти;</t>
  </si>
  <si>
    <t>4B</t>
  </si>
  <si>
    <t>Подобряване управлението на водите, включително управлението на торовете и пестицидите;</t>
  </si>
  <si>
    <t>4C</t>
  </si>
  <si>
    <t>Предотвратяване на ерозията на почвите и подобряване на управлението им;</t>
  </si>
  <si>
    <t>Насърчаване на ефективното използване на ресурсите и подпомагане на прехода към нисковъглеродна и устойчива на изменението на климата икономика в селското стопанство, сектора на храните и горското стопанство, с акцент върху следните области:</t>
  </si>
  <si>
    <t>5A</t>
  </si>
  <si>
    <t xml:space="preserve">Повишаване на ефективността при потреблението на вода в селското стопанство; </t>
  </si>
  <si>
    <t>5B</t>
  </si>
  <si>
    <t xml:space="preserve">Повишаване на ефективността при потреблението на енергия в селското стопанство и хранително-вкусовата промишленост; </t>
  </si>
  <si>
    <t>5C</t>
  </si>
  <si>
    <t>Улесняване на доставките и използването на възобновяеми източници на енергия, на странични продукти, отпадъци и остатъци, и други нехранителни суровини за целите на биоикономиката;</t>
  </si>
  <si>
    <t>5D</t>
  </si>
  <si>
    <t>Намаляване на емисиите на парникови газове и амоняк от селското стопанство;</t>
  </si>
  <si>
    <t>5E</t>
  </si>
  <si>
    <t>Стимулиране на съхраняването и поглъщането на въглерода в сектора на селското и горското стопанство;</t>
  </si>
  <si>
    <t>Насърчаване на социалното приобщаване, намаляването на бедността и икономическото развитие в селските райони, с акцент върху следните области:</t>
  </si>
  <si>
    <t>6A</t>
  </si>
  <si>
    <t>Улесняване на разнообразяването, създаването и развитието на малки предприятия, както и разкриването на работни места;</t>
  </si>
  <si>
    <t>6B</t>
  </si>
  <si>
    <t xml:space="preserve">Стимулиране на местното развитие в селските райони; </t>
  </si>
  <si>
    <t>6C</t>
  </si>
  <si>
    <t>Подобряване на достъпа до информационни и комуникационни технологии (ИКТ), използването и качеството им в селските райони;</t>
  </si>
  <si>
    <t>FA</t>
  </si>
  <si>
    <t xml:space="preserve">Друга област </t>
  </si>
  <si>
    <t>Мярка</t>
  </si>
  <si>
    <t>Приоритет</t>
  </si>
  <si>
    <t>Област</t>
  </si>
  <si>
    <t xml:space="preserve">Брой/ </t>
  </si>
  <si>
    <t>Площ/</t>
  </si>
  <si>
    <t>Размер за проекти, одобрени от ДФЗ за периода на доклада</t>
  </si>
  <si>
    <t>Размер за проекти, изплатени от ДФЗ за периода на доклада</t>
  </si>
  <si>
    <t>За мярката за сътрудничество (член 35 от Регламент (ЕС) № 1305/2013, където е приложимо</t>
  </si>
  <si>
    <t>P1</t>
  </si>
  <si>
    <t>Стимулиране на трансфера на знания и иновациите в областта на селското и горското стопанство и селските райони</t>
  </si>
  <si>
    <t xml:space="preserve">Укрепване на връзките между селското стопанство, производството на храни, горското стопанство и научноизследователската дейност и иновациите, включително с цел подобряване на екологичното управление и екологичните показатели </t>
  </si>
  <si>
    <t>Проекти за сътрудничество по мярката за сътрудничество (член 35 от Регламент (ЕС) № 1305/2013</t>
  </si>
  <si>
    <t>За мярка 1.1 и др. подобни, включени в стратегията за ВОМР</t>
  </si>
  <si>
    <t>Поощряване на ученето през целия живот и професионалното обучение в секторите на селското и горското стопанство</t>
  </si>
  <si>
    <t>Брой на участниците в обучения</t>
  </si>
  <si>
    <t>За мерки 3.1, 4.1, 5, 6, 8.1 до 8.4, 17.1 и др. подобни на тях, включени в стратегията за ВОМР</t>
  </si>
  <si>
    <t>P2</t>
  </si>
  <si>
    <t>Подобряване на жизнеспособността на стопанствата и конкурентоспособността на всички видове земеделие във всички региони; насърчаване на новаторски селскостопански технологии и устойчивото управление на горите</t>
  </si>
  <si>
    <t>Подобряване на икономическите резултати на всички земеделски стопанства и улесняване на преструктурирането и модернизирането на стопанствата, особено с оглед на увеличаването на пазарното участие и ориентация и на разнообразяването в селското стопанство</t>
  </si>
  <si>
    <t>Брой на стопанствата/ бенефициентите, получаващи подкрепа</t>
  </si>
  <si>
    <t>Улесняване на навлизането на земеделски стопани с подходяща квалификация в селскостопанския сектор, и по-специално приемствеността между поколенията</t>
  </si>
  <si>
    <t>P3</t>
  </si>
  <si>
    <t>Насърчаване на добро организиране на хранителната верига, в т.ч. преработката и търговията със селскостопански продукти, хуманното отношение към животните и управлението на риска в селското стопанство</t>
  </si>
  <si>
    <t>Подобряване на конкурентоспособността на първичните производители чрез по-доброто им интегриране в селскостопанската и хранителната верига посредством схеми за качество, които да добавят стойност към селскостопанските продукти, популяризиране на местните пазари и къси вериги на доставки, групи на производителите и организации и междубраншови организации</t>
  </si>
  <si>
    <t>Подпомагане на превенцията и управлението на риска на стопанствата</t>
  </si>
  <si>
    <t>За мерки 4, 8.1 до 8.5, 15.1 и др. подобни на тях, включени в стратегията за ВОМР</t>
  </si>
  <si>
    <t>P4</t>
  </si>
  <si>
    <t>Възстановяване, опазване и укрепване на екосистемите, свързани със селското и горското стопанство</t>
  </si>
  <si>
    <r>
      <t>Възстановяване, опазване и укрепване на биологичното разнообразие, включително в зони по „Натура 2000“ и в зони с природни или други специфични ограничения и земеделие с висока природна стойност, както и на състоянието на европейските ландшафти</t>
    </r>
    <r>
      <rPr>
        <b/>
        <sz val="9"/>
        <color rgb="FF000000"/>
        <rFont val="Times New Roman"/>
        <family val="1"/>
        <charset val="204"/>
      </rPr>
      <t xml:space="preserve"> (За земеделие и развитие на селските райони)</t>
    </r>
  </si>
  <si>
    <t xml:space="preserve">Обща подпомогната площ (ха) </t>
  </si>
  <si>
    <r>
      <t xml:space="preserve">Възстановяване, опазване и укрепване на биологичното разнообразие, включително в зони по „Натура 2000“ и в зони с природни или други специфични ограничения и земеделие с висока природна стойност, както и на състоянието на европейските ландшафти </t>
    </r>
    <r>
      <rPr>
        <b/>
        <sz val="9"/>
        <color rgb="FF000000"/>
        <rFont val="Times New Roman"/>
        <family val="1"/>
        <charset val="204"/>
      </rPr>
      <t>(За горско стопанство)</t>
    </r>
  </si>
  <si>
    <r>
      <t xml:space="preserve">Подобряване управлението на водите, включително управлението на торовете и пестицидите </t>
    </r>
    <r>
      <rPr>
        <b/>
        <sz val="9"/>
        <color rgb="FF000000"/>
        <rFont val="Times New Roman"/>
        <family val="1"/>
        <charset val="204"/>
      </rPr>
      <t>(За земеделие и развитие на селските райони)</t>
    </r>
  </si>
  <si>
    <r>
      <t xml:space="preserve">Подобряване управлението на водите, включително управлението на торовете и пестицидите </t>
    </r>
    <r>
      <rPr>
        <b/>
        <sz val="9"/>
        <color rgb="FF000000"/>
        <rFont val="Times New Roman"/>
        <family val="1"/>
        <charset val="204"/>
      </rPr>
      <t>(За горско стопанство)</t>
    </r>
  </si>
  <si>
    <r>
      <t xml:space="preserve">Предотвратяване на ерозията на почвите и подобряване на управлението им </t>
    </r>
    <r>
      <rPr>
        <b/>
        <sz val="9"/>
        <color rgb="FF000000"/>
        <rFont val="Times New Roman"/>
        <family val="1"/>
        <charset val="204"/>
      </rPr>
      <t xml:space="preserve"> (За земеделие и развитие на селските райони)</t>
    </r>
  </si>
  <si>
    <r>
      <t xml:space="preserve">Предотвратяване на ерозията на почвите и подобряване на управлението им </t>
    </r>
    <r>
      <rPr>
        <b/>
        <sz val="9"/>
        <color rgb="FF000000"/>
        <rFont val="Times New Roman"/>
        <family val="1"/>
        <charset val="204"/>
      </rPr>
      <t>(За горско стопанство)</t>
    </r>
  </si>
  <si>
    <t>P5</t>
  </si>
  <si>
    <t>Насърчаване на ефективното използване на ресурсите и подпомагане на прехода към нисковъглеродна и устойчива на изменението на климата икономика в селското стопанство, сектора на храните и горското стопанство</t>
  </si>
  <si>
    <t xml:space="preserve">Повишаване на ефективността при потреблението на вода в селското стопанство </t>
  </si>
  <si>
    <t>Обща подпомогната площ (ха)</t>
  </si>
  <si>
    <t>(Отнася се за площта, обхваната от инвестиции за напояване)</t>
  </si>
  <si>
    <t>За мерки 4, 5, 6.4, 7.2 до 7.8, 8.5 и 8.6 и др. инвестиционни мерки, включени в стратегията за ВОМР</t>
  </si>
  <si>
    <t xml:space="preserve">Повишаване на ефективността при потреблението на енергия в селското стопанство и хранително-вкусовата промишленост </t>
  </si>
  <si>
    <t>Общ размер на инвестициите</t>
  </si>
  <si>
    <t>(Сума от всички допустими инвестиционни разходи - публични и частни)</t>
  </si>
  <si>
    <t>Улесняване на доставките и използването на възобновяеми източници на енергия, на странични продукти, отпадъци и остатъци, и други нехранителни суровини за целите на биоикономиката</t>
  </si>
  <si>
    <t>Намаляване на емисиите на парникови газове и амоняк от селското стопанство</t>
  </si>
  <si>
    <t>Обща площ (ха)</t>
  </si>
  <si>
    <t>За мярка 4 и др. подобни, включени в стратегията за ВОМР</t>
  </si>
  <si>
    <t>Брой на подпомаганите животински единици (ЖЕ)</t>
  </si>
  <si>
    <t xml:space="preserve">Стимулиране на съхраняването и поглъщането на въглерода в сектора на селското и горското стопанство </t>
  </si>
  <si>
    <t>Таблица 10: Приоритети на съюза за развитие на селските райони по мерки финансирани от ЕЗФРСР</t>
  </si>
  <si>
    <t>Таблица 9: Изпълнение на СВОМР по приоритети на съюза за развитие на селските райони</t>
  </si>
  <si>
    <t>ТИПОВЕ КАНДИДАТИ/ ПОЛУЧАТЕЛИ</t>
  </si>
  <si>
    <t>от ЕЗФРСР</t>
  </si>
  <si>
    <t>ПУБЛИЧНИ</t>
  </si>
  <si>
    <t>МИГ</t>
  </si>
  <si>
    <t>Публичен орган/община</t>
  </si>
  <si>
    <t>НПО</t>
  </si>
  <si>
    <t>други</t>
  </si>
  <si>
    <t>ЧАСТНИ</t>
  </si>
  <si>
    <t>Малко или средно предприятие</t>
  </si>
  <si>
    <r>
      <t>Микропредприятие</t>
    </r>
    <r>
      <rPr>
        <i/>
        <sz val="9"/>
        <color rgb="FF000000"/>
        <rFont val="Times New Roman"/>
        <family val="1"/>
        <charset val="204"/>
      </rPr>
      <t>(Моля, отбележете и юридическата форма)</t>
    </r>
  </si>
  <si>
    <t>Физическо лице</t>
  </si>
  <si>
    <t>ЕТ</t>
  </si>
  <si>
    <t>Лице, регистрирано по ТЗ</t>
  </si>
  <si>
    <t>Друго(ако е приложимо)</t>
  </si>
  <si>
    <t>Общо от ЕЗФРСР:</t>
  </si>
  <si>
    <t>от ОПОС</t>
  </si>
  <si>
    <t>Добавят се редове за съответните типове кандидати/получатели</t>
  </si>
  <si>
    <t>Общо от ОПОС</t>
  </si>
  <si>
    <t>от ОПНОИР</t>
  </si>
  <si>
    <t xml:space="preserve">Общо от ОПНОИР </t>
  </si>
  <si>
    <t>от ОПРЧР</t>
  </si>
  <si>
    <t xml:space="preserve">Общо от ОПРЧР </t>
  </si>
  <si>
    <t>от ОПИК</t>
  </si>
  <si>
    <t>Общо от ОПИК</t>
  </si>
  <si>
    <t>от ПМДР</t>
  </si>
  <si>
    <t xml:space="preserve">Общо от ПМДР </t>
  </si>
  <si>
    <t>ОБЩО:</t>
  </si>
  <si>
    <t>Заявен общ размер на разходите по заявления подадени в МИГ</t>
  </si>
  <si>
    <t>Таблица 12: Изпълнение на СВОМР по типове кандидати/ получателии по фондове от сключване на споразумение за финансиране в лева</t>
  </si>
  <si>
    <t>Име на кандидата/ получателя</t>
  </si>
  <si>
    <t>Име на проекта</t>
  </si>
  <si>
    <t>% на заявената помощ</t>
  </si>
  <si>
    <t>Отхвърлено/ оттеглено/ анулирано заявление</t>
  </si>
  <si>
    <t>Мотив за отхвърляне</t>
  </si>
  <si>
    <t>Одобрен общ размер на разх. по проект от УО/ДФЗ</t>
  </si>
  <si>
    <t>Одобрена</t>
  </si>
  <si>
    <t>субсидия от УО/ДФЗ</t>
  </si>
  <si>
    <t xml:space="preserve">
Таблица 13: Изпълнение на СВОМР по кандидати/ получатели през отчетния период в лева
</t>
  </si>
  <si>
    <t>Механизиране на процесите по доене</t>
  </si>
  <si>
    <t>„Модернизиране на процесите по доене и поддържане на пасището във фермата на земеделски стопанин Венцислав Вълчев”</t>
  </si>
  <si>
    <t>Изграждане на склад за съхранение на пчелни продукти и модернизиране на процесите по добив на пчелен мед в стопанството на Георги Бохоров</t>
  </si>
  <si>
    <t>„Модернизиране на кравеферма, включващо подмяна на покривни материали и закупуване на ехограф“</t>
  </si>
  <si>
    <t>"Подобряване конкурентноспособността на ЗП Иван Веселинов Иванов"</t>
  </si>
  <si>
    <t>Закупуване на машина за косене на лавандула МЕТАЛАГРО МА 301 S</t>
  </si>
  <si>
    <t>Закупуване на прикачен комбайн за лавандула марка BONINO, модел BE 500</t>
  </si>
  <si>
    <t xml:space="preserve">Създаване на 33.700 дка. трайни насаждения от лавандула и закупуване на земеделска техника
</t>
  </si>
  <si>
    <t>Закупуване на земеделска техника за обработка на насаждения от лавандула</t>
  </si>
  <si>
    <t>Инвестиционен проект за закупуване на земеделска техника и инвентар</t>
  </si>
  <si>
    <t>Закупуване на прикачен комбайн за лавандула</t>
  </si>
  <si>
    <t>Закупуване на земеделска техника за обработка и прибиране на лавандула</t>
  </si>
  <si>
    <t>Закупуване на оборудване за кравеферма</t>
  </si>
  <si>
    <t>Инвестиции в стопанството на „ЕСЕНШЪЛ ОЙЛС“ЕООД за покупка на прикачен инвентар за обработка и реколтиране на лавандула</t>
  </si>
  <si>
    <t>НП</t>
  </si>
  <si>
    <t>Закупуване на поставяемо съоръжение за преработка и търговия с мляко и млечни продукти с дневен капацитет от 250 литра овче мляко и специализиран автомобил оборудван с хладилна инсталация за превоз на готова продукция</t>
  </si>
  <si>
    <t>„Повишаване на конкурентноспособността на „Джамбо - Л” ЕООД, произвеждащо плодови сокове от собствена суровина”</t>
  </si>
  <si>
    <t>ПО-КОНКУРЕНТНО ПРОИЗВОДСТВО НА КАЧЕСТВЕНИ ЗЕЛЕНЧУКОВИ ПОДПРАВКИ</t>
  </si>
  <si>
    <t>ОБЩИНА КРУШАРИ</t>
  </si>
  <si>
    <t>Община Тервел</t>
  </si>
  <si>
    <t>Рехабилитация на част от улица "Черно море" и улица "Изгрев" в с.Крушари, община Крушари, област Добрич</t>
  </si>
  <si>
    <t>"Рехабилитация на улици в гр.Тервел - Улица "Дунав" - участък от ул."Черни връх" до ул."Черно море";Улица 'Пирин" от О.К.13 до О.К.56 и Улица "Тимок" от О.К 56 до О.К.63"</t>
  </si>
  <si>
    <t>„Обновяване на площад „Старият дъб в гр.Тервел“ – зона за отдих“</t>
  </si>
  <si>
    <t>Ремонт на открита спортна площадка в основно училище с.Нова Камена,община Тервел</t>
  </si>
  <si>
    <t>„Реконструкция на сграда за център за социални услуги в с.Безмер“</t>
  </si>
  <si>
    <t>Реконструкция на пешеходна зона на с. Крушари - УПИ XVІІ, кв. 60, по плана на с. Крушари</t>
  </si>
  <si>
    <t>Групова практика за първична медицинска помощ по дентална медицина Дент експерт ООД</t>
  </si>
  <si>
    <t>„Развитие и подкрепа в сферата на денталната медицина на територията на МИГ ТЕРВЕЛ – КРУШАРИ“</t>
  </si>
  <si>
    <t>БРАТЯ РАЙЧЕВИ ООД</t>
  </si>
  <si>
    <t>Ивестиции в оборудване и обзавеждане на ресторант „Приятели” за по-добра конкуренция и улеснен достъп за населението от община Тервел</t>
  </si>
  <si>
    <t>ПЕНЕВ КАР ЕООД</t>
  </si>
  <si>
    <t>Закупуване на оборудване за автосервиз</t>
  </si>
  <si>
    <t>ДЖЕБЕДЖИ 60 ООД</t>
  </si>
  <si>
    <t>Изграждане на склад и магазин за строителни материали</t>
  </si>
  <si>
    <t>"Братя Кондови 2019" ЕООД</t>
  </si>
  <si>
    <t>Развитие и оборудване на градински център "Братя Кондови 2019" ЕООД</t>
  </si>
  <si>
    <t>"Крис - 93" ООД</t>
  </si>
  <si>
    <t>„Повишаване на конкурентоспособността на „Крис- 93 ООД чрез въвеждане на съвременни информационни и комуникационни технологии  в управлението и   услугите”</t>
  </si>
  <si>
    <t>ООД</t>
  </si>
  <si>
    <t>ЕООД</t>
  </si>
  <si>
    <t>Лице, регистрирано по ТЗ-ООД</t>
  </si>
  <si>
    <t>Лице, регистрирано по ТЗ-ЕООД</t>
  </si>
  <si>
    <r>
      <t>Микропредприятие</t>
    </r>
    <r>
      <rPr>
        <b/>
        <i/>
        <sz val="9"/>
        <color rgb="FF000000"/>
        <rFont val="Times New Roman"/>
        <family val="1"/>
        <charset val="204"/>
      </rPr>
      <t>(Моля, отбележете и юридическата форма)</t>
    </r>
  </si>
  <si>
    <t>колона 2 минус колона 10</t>
  </si>
  <si>
    <t>колона 10 разделена на колона 2</t>
  </si>
  <si>
    <t>4.1  "Инвестиции в земеделски стопанства" Първи прием- Процедура BG06RDNP001-19.076</t>
  </si>
  <si>
    <t>Иван Ангелов Иванов - земеделски стопанин физическо лице</t>
  </si>
  <si>
    <t>ЗС МЕЛИХА АХМЕД ДЮКЯНДЖИ</t>
  </si>
  <si>
    <t>Димитър Стоянов Иванов</t>
  </si>
  <si>
    <t>ЗП Константин Атанасов Георгиев</t>
  </si>
  <si>
    <t xml:space="preserve">ЗС ДЕЯН ДИМИТРОВ ПЕТРОВ </t>
  </si>
  <si>
    <t>4.1  "Инвестиции в земеделски стопанства" Втори прием- Процедура BG06RDNP001-19.407</t>
  </si>
  <si>
    <t>Закупуване на телескопичен товарач и фуражосмесител за нуждите на животновъдна ферма в село Кочмар, община Тервел</t>
  </si>
  <si>
    <t>Земеделски стопанин Румяна Петкова Русева</t>
  </si>
  <si>
    <t>Модернизация на животновъдното стопанство на ЗП Николай Колев</t>
  </si>
  <si>
    <t>4.1.</t>
  </si>
  <si>
    <t>Подмярка 4.2  Инвестиции в преработка/маркетинг на селскостопански продукти - Процедура BG06RDNP001-19.012</t>
  </si>
  <si>
    <t>ДЖАМБО - Л ЕООД</t>
  </si>
  <si>
    <t xml:space="preserve">6.4 Инвестиции в подкрепа на неземеделски дейности" BG06RDNP001-19.264-Първи прием </t>
  </si>
  <si>
    <t xml:space="preserve">6.4 Инвестиции в подкрепа на неземеделски дейности" BG06RDNP001-19.264-Втори прием </t>
  </si>
  <si>
    <t>„ Подобряване на конкурентоспособността и условията на труд в 
„ДОНИДО М“ ООД“</t>
  </si>
  <si>
    <t>ДОНИДО М ООД</t>
  </si>
  <si>
    <t>ЕТ Силвия Неделчева - СИДИ</t>
  </si>
  <si>
    <t>Подмярка 6.4. Инвестиции в подкрепа на неземеделски дейности - Процедура BG06RDNP001-19.418</t>
  </si>
  <si>
    <t>„Закупуване на специализирано оборудване за автосервиз в гр.Тервел“</t>
  </si>
  <si>
    <t>ЕТ „Ненка-69-Николай Ненов”</t>
  </si>
  <si>
    <t>6.4.</t>
  </si>
  <si>
    <t>7.2.</t>
  </si>
  <si>
    <t>„Дивите растения като храна – опознаване, популяризиране и съхранение на местното биоразнообразие и кулинарна традиция в община Крушари“</t>
  </si>
  <si>
    <t>ФЕСТИВАЛ НА БЯЛАТА ЖЪТВА - ЗА ЗЕМЯТА, ДОБРУДЖАНЕЦА И ХЛЯБА</t>
  </si>
  <si>
    <t>„ПРАЗНИК НА ГЪРНЕТАТА – КУЛИНАРНАТА АКАДЕМИЯ ДА ДОБРУДЖА“</t>
  </si>
  <si>
    <t>ФЕСТИВАЛ „ПРОЛЕТНИЦИ ЗА СИТА ЗИМА“</t>
  </si>
  <si>
    <t>Подобряване на материално-техническата база на седемте читалища от Община Крушари чрез закупуване на обзавеждане и оборудване</t>
  </si>
  <si>
    <t>„НЕВИДИМИТЕ СЪКРОВИЩА НА ДОБРУДЖА“</t>
  </si>
  <si>
    <t xml:space="preserve">РАДИДА ООД </t>
  </si>
  <si>
    <t>ОТТЕГЛЕН</t>
  </si>
  <si>
    <t>ДОПУСНАТА ТЕХНИЧЕСКА ГРЕШКА</t>
  </si>
  <si>
    <t xml:space="preserve">Венцислав Манолов Вълчев </t>
  </si>
  <si>
    <t xml:space="preserve">Георги Стойчев Бохоров - земеделски стопанин </t>
  </si>
  <si>
    <t xml:space="preserve">ЗП Иван Веселинов Иванов </t>
  </si>
  <si>
    <t xml:space="preserve">ЗС Росица Георгиева Петрова </t>
  </si>
  <si>
    <t xml:space="preserve">ЗС Живко Димитров Петров </t>
  </si>
  <si>
    <t xml:space="preserve">ХРИСТО ПЛАМЕНОВ ИГНАТОВ </t>
  </si>
  <si>
    <t xml:space="preserve">Таня Георгиева Рачева </t>
  </si>
  <si>
    <t>"Агро Егер" ЕООД</t>
  </si>
  <si>
    <t>"ЕСЕНШЪЛ ОЙЛС"ЕООД</t>
  </si>
  <si>
    <t xml:space="preserve">ЗП НИКОЛАЙ ТОШКОВ КОЛЕВ </t>
  </si>
  <si>
    <t xml:space="preserve">Николай Георгиев Петров </t>
  </si>
  <si>
    <t>ОТКАЗАН ОТ МИГ</t>
  </si>
  <si>
    <t>ЛИПСА НА СТАНОВИЩЕ ЗА ОСИП</t>
  </si>
  <si>
    <t xml:space="preserve">А И К 2000 ООД </t>
  </si>
  <si>
    <t>ЛИПСА НАОБОСНОВАНОСТ И ДОКУМЕНТИ</t>
  </si>
  <si>
    <t>„Закупуване на специализирано оборудване за ОПТИКА в гр.Тервел“</t>
  </si>
  <si>
    <t xml:space="preserve">ФОНДАЦИЯ КРУГА </t>
  </si>
  <si>
    <t xml:space="preserve">ОБЩИНА ТЕРВЕЛ </t>
  </si>
  <si>
    <t xml:space="preserve">ОБЩИНА КРУШАРИ </t>
  </si>
  <si>
    <t>Заявен общ размер наБФП  по заявления, подадени в МИГ</t>
  </si>
  <si>
    <t>Отказан за изпълнение и финансиране</t>
  </si>
  <si>
    <r>
      <t xml:space="preserve">Заявен общ размер на </t>
    </r>
    <r>
      <rPr>
        <b/>
        <u/>
        <sz val="9"/>
        <color rgb="FF000000"/>
        <rFont val="Times New Roman"/>
        <family val="1"/>
        <charset val="204"/>
      </rPr>
      <t xml:space="preserve">субсидията </t>
    </r>
    <r>
      <rPr>
        <b/>
        <sz val="9"/>
        <color rgb="FF000000"/>
        <rFont val="Times New Roman"/>
        <family val="1"/>
        <charset val="204"/>
      </rPr>
      <t xml:space="preserve"> по заявления, подадени в МИГ</t>
    </r>
  </si>
  <si>
    <r>
      <rPr>
        <b/>
        <u/>
        <sz val="9"/>
        <color rgb="FF000000"/>
        <rFont val="Times New Roman"/>
        <family val="1"/>
        <charset val="204"/>
      </rPr>
      <t>Субсиди</t>
    </r>
    <r>
      <rPr>
        <b/>
        <sz val="9"/>
        <color rgb="FF000000"/>
        <rFont val="Times New Roman"/>
        <family val="1"/>
        <charset val="204"/>
      </rPr>
      <t>я по проектите, одобрени от МИГ</t>
    </r>
  </si>
  <si>
    <t xml:space="preserve">Брой изплатениз аявления отДФЗ  </t>
  </si>
  <si>
    <t>Остатък</t>
  </si>
  <si>
    <t>ЗП</t>
  </si>
  <si>
    <t>ОТКАЗАН ЗА ИЗПЪЛНЕНИЕ</t>
  </si>
  <si>
    <t>BG06RDNP001-19.547-0001</t>
  </si>
  <si>
    <t>„Василев - Тервел” ЕООД</t>
  </si>
  <si>
    <t>Закупуване на трактор в стопанството на „Василев Тервел” ЕООД</t>
  </si>
  <si>
    <t>BG06RDNP001-19.500-S1, Процедура: МИГ ТЕРВЕЛ - КРУШАРИ Подмярка 4.2.</t>
  </si>
  <si>
    <t>BG06RDNP001-19.496</t>
  </si>
  <si>
    <t>СТОУНС РУМО ЕООД (ЕИК: 202079322)</t>
  </si>
  <si>
    <t>Инвестиции в производствената дейност и конкурентноспособността на СТОУНС РУМО ЕООД</t>
  </si>
  <si>
    <t>АМБУЛАТОРИЯ ЗА ИНДИВИДУАЛНА ПРАКТИКА ЗА ПЪРВИЧНА ИЗВЪНБОЛНИЧНА МЕДИЦИНСКА ПОМОЩ ПО ДЕНТАЛНА МЕДИЦИНА - Д-Р ДЕНИЦА КОВАЧЕВА</t>
  </si>
  <si>
    <t>BG06RDNP001-19.003</t>
  </si>
  <si>
    <t>BG06RDNP001-19.289</t>
  </si>
  <si>
    <t>BG06RDNP001-19.338</t>
  </si>
  <si>
    <t>Сключини</t>
  </si>
  <si>
    <t>заповеди</t>
  </si>
  <si>
    <t>в оценка</t>
  </si>
  <si>
    <t>нодобрени от МИГ и ДФЗ</t>
  </si>
  <si>
    <t>отказани за изпълнение</t>
  </si>
  <si>
    <t>общо проекти</t>
  </si>
  <si>
    <t>БФП</t>
  </si>
  <si>
    <t>одобрени от МИГ</t>
  </si>
  <si>
    <t xml:space="preserve">Отказани </t>
  </si>
  <si>
    <t>отчетени</t>
  </si>
  <si>
    <t>подадени</t>
  </si>
  <si>
    <t>сключени</t>
  </si>
  <si>
    <t>отчетени и платени</t>
  </si>
  <si>
    <t>4.2</t>
  </si>
  <si>
    <t>Неодобрени</t>
  </si>
  <si>
    <t>изпълнени</t>
  </si>
  <si>
    <t>неодобрени</t>
  </si>
  <si>
    <t>Заповеди за одобрение</t>
  </si>
  <si>
    <t>ЛИПСА НА ОБОСНОВАНОСТ И ДОКУМЕНТИ</t>
  </si>
  <si>
    <t>Одобрени от МИГ  към 31/12/2021</t>
  </si>
  <si>
    <t>Одобрени от ДФЗ  към 31/12/2021[1]</t>
  </si>
  <si>
    <t>Повишаване на конкурентоспособността на местното земеделие и добавяне на стойност при местните селскостопански продукти</t>
  </si>
  <si>
    <t>[1] В стойностите са включени сключените ДБФП и издадените Заповеди за одобрение от ДФЗ.</t>
  </si>
  <si>
    <t>Одобрени от МИГ към 31/12/2021</t>
  </si>
  <si>
    <t>Одобрени от ДФЗ  към 31/12/2021</t>
  </si>
  <si>
    <t>Закупуване на оборудване за стоматологичен кабинет в гр. Тервел</t>
  </si>
  <si>
    <t>Закупуване, доставка и монтаж на сушилна камера за плодове и зеленчуци</t>
  </si>
  <si>
    <t>Бенефициент</t>
  </si>
  <si>
    <t>Седалище</t>
  </si>
  <si>
    <t>Местонахождение</t>
  </si>
  <si>
    <t>Номер на проектно предложение</t>
  </si>
  <si>
    <t>Наименование на проекта</t>
  </si>
  <si>
    <t>Обща стойност</t>
  </si>
  <si>
    <t>Собствено съфинансиране от бенефициента</t>
  </si>
  <si>
    <t>Реално изплатени суми</t>
  </si>
  <si>
    <t>Продължителност (месеци)</t>
  </si>
  <si>
    <t>Статус на изпълнение на договора/заповедта за БФП</t>
  </si>
  <si>
    <t>Подмярка</t>
  </si>
  <si>
    <t>204155605 "Агро Егер" ЕООД</t>
  </si>
  <si>
    <t>България, гр.Тервел, 9450, ул. Г.С.Раковски 30</t>
  </si>
  <si>
    <t>гр.Тервел</t>
  </si>
  <si>
    <t>BG06RDNP001-19.076-0016</t>
  </si>
  <si>
    <t>Сключен</t>
  </si>
  <si>
    <t>205376542 "ЕСЕНШЪЛ ОЙЛС"ЕООД</t>
  </si>
  <si>
    <t>България, с.Божан, 9475, ул."Втора"№12</t>
  </si>
  <si>
    <t>с.Божан</t>
  </si>
  <si>
    <t>BG06RDNP001-19.076-0017</t>
  </si>
  <si>
    <t>Венцислав</t>
  </si>
  <si>
    <t>България, с.Безмер, 9480, Първа № 7</t>
  </si>
  <si>
    <t>с.Безмер (общ.Тервел)</t>
  </si>
  <si>
    <t>BG06RDNP001-19.076-0003</t>
  </si>
  <si>
    <t>Отказан за изпълнение</t>
  </si>
  <si>
    <t>Георги</t>
  </si>
  <si>
    <t>България, с.Коларци, 9481, Осма № 16</t>
  </si>
  <si>
    <t>с.Коларци</t>
  </si>
  <si>
    <t>BG06RDNP001-19.076-0004</t>
  </si>
  <si>
    <t>Димитър</t>
  </si>
  <si>
    <t>България, гр.Тервел, 9450, жк. Изгрев 11 вх.Б ет.2 ап.5</t>
  </si>
  <si>
    <t>Тервел</t>
  </si>
  <si>
    <t>BG06RDNP001-19.076-0012</t>
  </si>
  <si>
    <t>България, гр.Тервел, 9450, жк."Изгрев" бл.13, ет.2, ап.3</t>
  </si>
  <si>
    <t>BG06RDNP001-19.076-0006</t>
  </si>
  <si>
    <t>България, с.Полковник Дяково, 9401, улица "Шеста" № 5</t>
  </si>
  <si>
    <t>с.Полковник Дяково</t>
  </si>
  <si>
    <t>BG06RDNP001-19.076-0013</t>
  </si>
  <si>
    <t>ЗС</t>
  </si>
  <si>
    <t>България, с.Крушари, 9410, "9 септември" 4</t>
  </si>
  <si>
    <t>с.Крушари</t>
  </si>
  <si>
    <t>BG06RDNP001-19.076-0015</t>
  </si>
  <si>
    <t>България, с.Крушари, 9410, ул. "9 септември" №4</t>
  </si>
  <si>
    <t>BG06RDNP001-19.076-0008</t>
  </si>
  <si>
    <t>България, с.Орляк, 9490, ул. "Тринадесета" 27</t>
  </si>
  <si>
    <t>с.Орляк</t>
  </si>
  <si>
    <t>BG06RDNP001-19.076-0011</t>
  </si>
  <si>
    <t>България, с.Александрия, 9404, ул. Шеста №3</t>
  </si>
  <si>
    <t>с.Александрия</t>
  </si>
  <si>
    <t>BG06RDNP001-19.076-0007</t>
  </si>
  <si>
    <t>Иван</t>
  </si>
  <si>
    <t>България, гр.Тервел, 9540, ул. Васил Левски № 11</t>
  </si>
  <si>
    <t>BG06RDNP001-19.076-0002</t>
  </si>
  <si>
    <t>Земеделски</t>
  </si>
  <si>
    <t>България, с.Кочмар, 9477, ул. "Шеста"№18</t>
  </si>
  <si>
    <t>с.Кочмар</t>
  </si>
  <si>
    <t>BG06RDNP001-19.407-0001</t>
  </si>
  <si>
    <t>Таня</t>
  </si>
  <si>
    <t>България, с.Лозенец, 9414, ул. 3-та №9</t>
  </si>
  <si>
    <t>с.Лозенец (общ.Крушари)</t>
  </si>
  <si>
    <t>BG06RDNP001-19.076-0014</t>
  </si>
  <si>
    <t>ХРИСТО</t>
  </si>
  <si>
    <t>България, с.Крушари, 9410, ул.АЛБЕНА № 1</t>
  </si>
  <si>
    <t>BG06RDNP001-19.076-0009</t>
  </si>
  <si>
    <t>Създаване на 33.700 дка. трайни насаждения от лавандула и закупуване на земеделска техника</t>
  </si>
  <si>
    <t>124531747 РАДИДА ООД</t>
  </si>
  <si>
    <t>България, с.Сърнец, 9482, Кравеферма</t>
  </si>
  <si>
    <t>с.Сърнец</t>
  </si>
  <si>
    <t>BG06RDNP001-19.076-0005</t>
  </si>
  <si>
    <t>4.2.</t>
  </si>
  <si>
    <t>200976113 ДЖАМБО - Л ЕООД</t>
  </si>
  <si>
    <t>България, гр.Тервел, 9450, УЛ. ГЕНЕРАЛ СТОЛЕТОВ, номер 4</t>
  </si>
  <si>
    <t>BG06RDNP001-19.012-0002</t>
  </si>
  <si>
    <t>203656937 ДОНИДО М ООД</t>
  </si>
  <si>
    <t>България, гр.Тервел, 9450, ул. Гео Милев, номер 9</t>
  </si>
  <si>
    <t>BG06RDNP001-19.264-0008</t>
  </si>
  <si>
    <t>„ Подобряване на конкурентоспособността и условията на труд в</t>
  </si>
  <si>
    <t>„ДОНИДО М“ ООД“</t>
  </si>
  <si>
    <t>124133985 ЕТ Силвия Неделчева - СИДИ</t>
  </si>
  <si>
    <t>България, гр.Тервел, 9450, жк.Изгрев №7, вх.Б, ет.1, ап.2</t>
  </si>
  <si>
    <t>BG06RDNP001-19.264-0007</t>
  </si>
  <si>
    <t>203855501 ЕТ „Ненка-69-Николай Ненов”</t>
  </si>
  <si>
    <t>България, гр.Тервел, 9450, гр.Тервел ул.Хан Аспарух №59</t>
  </si>
  <si>
    <t>BG06RDNP001-19.418-0001</t>
  </si>
  <si>
    <t>124718540 Групова практика за първична медицинска помощ по дентална медицина Дент експерт ООД</t>
  </si>
  <si>
    <t>България, гр.Тервел, 9450, ул.Св.Св. Кирил и Методий №18</t>
  </si>
  <si>
    <t>BG06RDNP001-19.496-0001</t>
  </si>
  <si>
    <t>000852925 Община Тервел</t>
  </si>
  <si>
    <t>България, гр.Тервел, 9450, улица "Св.Св.Кирил и Методий" 8</t>
  </si>
  <si>
    <t>BG06RDNP001-19.003-0002</t>
  </si>
  <si>
    <t>BG06RDNP001-19.003-0004</t>
  </si>
  <si>
    <t>България, гр.Тервел, 9450, Улица "Св.Св.Кирил и Методий" 8</t>
  </si>
  <si>
    <t>BG06RDNP001-19.003-0005</t>
  </si>
  <si>
    <t>с.Нова Камена</t>
  </si>
  <si>
    <t>BG06RDNP001-19.003-0003</t>
  </si>
  <si>
    <t>000852754 ОБЩИНА КРУШАРИ</t>
  </si>
  <si>
    <t>България, с.Крушари, 9410, ул. "Девети септември" 3А</t>
  </si>
  <si>
    <t>Крушари</t>
  </si>
  <si>
    <t>BG06RDNP001-19.003-0001</t>
  </si>
  <si>
    <t>България, с.Крушари, 9410, ул. "Девети септември" №3-А</t>
  </si>
  <si>
    <t>BG06RDNP001-19.289-0001</t>
  </si>
  <si>
    <t>19.7.6.</t>
  </si>
  <si>
    <t>BG06RDNP001-19.338-0004</t>
  </si>
  <si>
    <t>Закупуване на земеделски прикачен инвентар и оборудване</t>
  </si>
  <si>
    <t>ЗП " Вълчо Вълчев" (ЕИК: 179824938)</t>
  </si>
  <si>
    <t>"Модернизация в земеделското стопанство</t>
  </si>
  <si>
    <t xml:space="preserve">Закупуване на трактор в стопанството </t>
  </si>
  <si>
    <t>Закупуване на трактор в животновъдното стопанството</t>
  </si>
  <si>
    <t>Създаване на 33,660 дка насаждения от лавандула и орехи</t>
  </si>
  <si>
    <t>ЗС Славян Веселинов Славов (Булстат за свободни професии (ЕГН):</t>
  </si>
  <si>
    <t xml:space="preserve">ЗС Танер Неждет Юсню (Булстат за свободни професии (ЕГН): </t>
  </si>
  <si>
    <t xml:space="preserve">ЗС Гюлбахар Хайредин Сали (Булстат за свободни професии (ЕГН): </t>
  </si>
  <si>
    <t xml:space="preserve">ЗС ХРИСТО ПЛАМЕНОВ ИГНАТОВ (Булстат: </t>
  </si>
  <si>
    <t>АГРО ЕГЕР ЕООД (ЕИК: )</t>
  </si>
  <si>
    <t xml:space="preserve">
Таблица 13: Изпълнение на СВОМР по кандидати/ получатели през отчетния период в лева - 2022г.
</t>
  </si>
  <si>
    <t>ОТКАЗАН  ЗА ИЗПЪЛНЕНИЕ ОТ БЕНЕФИЦИЕНТА</t>
  </si>
  <si>
    <t>ОТКАЗАН  ПРОЕКТ ОТ БЕНЕФИЦИЕНТА</t>
  </si>
  <si>
    <t>ОТКАЗАН  ЗА ПОДПИСВАНЕ ДОГОВОР ОТ БЕНЕФИЦИЕНТА</t>
  </si>
  <si>
    <t>МЕГА ТРАНС 2014 ЕООД</t>
  </si>
  <si>
    <t>АРТ 2020 ЕООД</t>
  </si>
  <si>
    <t>ВЕЛИКОВ СТРОЙ ИНВЕСТ ЕООД (ЕИК: 207065166)</t>
  </si>
  <si>
    <t>Обособяване на малък цех за производство на картонени чашки в село Орляк, община Тервел</t>
  </si>
  <si>
    <t>„Оборудване и експлоатация на киносалон в град Тервел и предоставяне на мобилни услуги по кинопоказ </t>
  </si>
  <si>
    <t xml:space="preserve">Закупуване на минибагер и оборудване </t>
  </si>
  <si>
    <t>Основен ремонт на улица "Четвърта" в с.Каблешково</t>
  </si>
  <si>
    <t>Обзавеждане на детски градини в села от Община Тервел</t>
  </si>
  <si>
    <t>„Основен ремонт на покрив на читалище – с. Телериг, находящ се в пл. №205, кв. 14 по плана на с. Телериг, община Крушари“</t>
  </si>
  <si>
    <t>Основен ремонт на участъци от улици „Втора“ и „Шеста“ в с.Безмер и „Първа“ в с.Попгруево“</t>
  </si>
  <si>
    <t>„АМБУЛАТОРИЯ ЗА ИНДИВИДУАЛНА ПРАКТИКА ЗА ПЪРВИЧНА ИЗВЪНБОЛНИЧНА МЕДИЦИНСКА ПОМОЩ ПО ДЕНТАЛНА МЕДИЦИНА - Д-Р ДЕНИЦА КОВАЧЕВА“</t>
  </si>
  <si>
    <t>АЗАЛ ДЕНТ - АМБУЛАТОРИЯ ЗА ИНДИВИДУАЛНА ПРАКТИКА ЗА ИЗВЪНБОЛНИЧНА ПЪРВИЧНА МЕДИЦИНСКА ПОМОЩ ПО ДЕНТАЛНА МЕДИЦИНА ЕООД (ЕИК: 205817378)</t>
  </si>
  <si>
    <t>Закупуване на дентален микроскоп за нуждите на стоматологичен кабинет в гр. Тервел</t>
  </si>
  <si>
    <t>Подобряване на конкурентноспособността на „ПЕНЕВ КАР“ ЕООД</t>
  </si>
  <si>
    <t>Закупуване на оборудване за зъболекарски кабинет</t>
  </si>
  <si>
    <t>Подобряване на материално-техническата база на Детските градини в община Крушари</t>
  </si>
  <si>
    <t>„ФОЛКЛОРНАТА МАГИЯ НА ТАНЦА – БАГРИ, РИТЪМ, МЛАДОСТ, СВЕТЛИНА“</t>
  </si>
  <si>
    <t xml:space="preserve">„Кулинарните маршрути на община Крушари“ </t>
  </si>
  <si>
    <t>Заявен общ размер на субсидиите по заявления, подадени в МИГ</t>
  </si>
  <si>
    <t>Брой отказани проикти</t>
  </si>
  <si>
    <t>8/1</t>
  </si>
  <si>
    <t>8/2</t>
  </si>
  <si>
    <t>Брой отказани договори от кандидати</t>
  </si>
  <si>
    <t>12/1</t>
  </si>
  <si>
    <t>12/2</t>
  </si>
  <si>
    <t>Оставащ Брой внесени заявления от МИГ за одобрение от УО/ДФЗ</t>
  </si>
  <si>
    <t>Оставащ Брой сключени договори с кандидати</t>
  </si>
  <si>
    <t>Прекратени</t>
  </si>
  <si>
    <t>Оставащи сключени договори</t>
  </si>
  <si>
    <t>Таблица 1 Брой работни места, разкрити в резултат от подпомагане на проектите-2024 МИГ ТЕРВЕЛ - КРУШАРИ</t>
  </si>
  <si>
    <t>Таблица 2: Брой жители, които ще се ползват от подобрени услуги/ инфраструктура, в резултат от изпълнението на проектите, финансирани от ЕЗФРСР.-2024</t>
  </si>
  <si>
    <t>В резерва</t>
  </si>
  <si>
    <t>Изграждане на навес</t>
  </si>
  <si>
    <t>АГРО ЕГЕР ЕООД (ЕИК: 204155605)</t>
  </si>
  <si>
    <t>АУТО ЕРДЖИ ЕООД</t>
  </si>
  <si>
    <t>Разширяване на обхвата на предоставяните от АУТО ЕРДЖИ ЕООД услуги чрез закупуване на оборудване за автосервиз</t>
  </si>
  <si>
    <t>„Доставка и монтаж на улични принадлежности (табели и пилони) в гр. Тервел и село Зърнево“</t>
  </si>
  <si>
    <t>Таблица 3: Брой проекти към СВОМР по мерки и по фондове за отчетния период и от сключване на споразумение за изпълнение на СВОМР-2024</t>
  </si>
  <si>
    <t>Таблица 4: Изпълнение на СВОМР по мерки и по фондове през отчетния период в лева-2024 г.</t>
  </si>
  <si>
    <r>
      <rPr>
        <b/>
        <i/>
        <u/>
        <sz val="9"/>
        <color theme="0"/>
        <rFont val="Times New Roman"/>
        <family val="1"/>
        <charset val="204"/>
      </rPr>
      <t>Таблица 5:</t>
    </r>
    <r>
      <rPr>
        <b/>
        <i/>
        <u/>
        <sz val="9"/>
        <color theme="1"/>
        <rFont val="Times New Roman"/>
        <family val="1"/>
        <charset val="204"/>
      </rPr>
      <t xml:space="preserve"> Изпълнение на СВОМР по мерки и по фондове от сключване на споразумение за финансиране в лева-2024г.</t>
    </r>
  </si>
  <si>
    <t>Таблица 6: Брой заявления към СВОМР по приоритети от СВОМР-2024г.</t>
  </si>
  <si>
    <t>Таблица 7: Изпълнение на СВОМР по приоритети от СВОМР в лева през отчетния период в лева-2024г.</t>
  </si>
  <si>
    <t>Таблица 8: Изпълнение на СВОМР по приоритети от СВОМР от сключване на споразумение за финансиране в лева-2024 г.</t>
  </si>
  <si>
    <t>Физическо лице-ЗП</t>
  </si>
  <si>
    <t>Таблица 11:Брой проекти към СВОМР по типове кандидати/получатели и по фондове-2024</t>
  </si>
  <si>
    <t xml:space="preserve">
Таблица 13: Изпълнение на СВОМР по кандидати/ получатели през отчетния период в лева - 2024г.
</t>
  </si>
  <si>
    <t xml:space="preserve">Закупуване на 4 бр. полиетиленови оранжерии </t>
  </si>
  <si>
    <t xml:space="preserve">Подобряване на материално-техническата база в сграите </t>
  </si>
  <si>
    <t>Основен ремонт на улица 12-та в с. Честименско, общ. Тервел</t>
  </si>
  <si>
    <t>Доставка на земеделска техника - прикачен инвентар</t>
  </si>
  <si>
    <t>Закупуване на подвижна поливна система</t>
  </si>
  <si>
    <t>Договор №</t>
  </si>
  <si>
    <t>дата</t>
  </si>
  <si>
    <t>BG06RDNP001-19.407-0002</t>
  </si>
  <si>
    <t>BG06RDNP001-19.547-0002</t>
  </si>
  <si>
    <t>BG06RDNP001-19.547-0003</t>
  </si>
  <si>
    <t>BG06RDNP001-19.547-0004</t>
  </si>
  <si>
    <t>BG06RDNP001-19.547-0005</t>
  </si>
  <si>
    <t>BG06RDNP001-19.547-0006</t>
  </si>
  <si>
    <t>BG06RDNP001-19.547-0007</t>
  </si>
  <si>
    <t>BG06RDNP001-19.547-0009</t>
  </si>
  <si>
    <t>BG06RDNP001-19.547-0010</t>
  </si>
  <si>
    <t>BG06RDNP001-19.500-0001</t>
  </si>
  <si>
    <t>BG06RDNP001-19.264-0002</t>
  </si>
  <si>
    <t>BG06RDNP001-19.264-0003</t>
  </si>
  <si>
    <t>BG06RDNP001-19.264-0004</t>
  </si>
  <si>
    <t>BG06RDNP001-19.264-0005</t>
  </si>
  <si>
    <t>BG06RDNP001-19.264-0006</t>
  </si>
  <si>
    <t>BG06RDNP001-19.496-0002</t>
  </si>
  <si>
    <t>BG06RDNP001-19.496-0003</t>
  </si>
  <si>
    <t>BG06RDNP001-19.598-0001</t>
  </si>
  <si>
    <t>BG06RDNP001-19.598-0002</t>
  </si>
  <si>
    <t>BG06RDNP001-19.598-0003</t>
  </si>
  <si>
    <t>BG06RDNP001-19.598-0004</t>
  </si>
  <si>
    <t>BG06RDNP001-19.598-0005</t>
  </si>
  <si>
    <t>BG06RDNP001-19.598-0006</t>
  </si>
  <si>
    <t>BG06RDNP001-19.598-0007</t>
  </si>
  <si>
    <t>27.05.2022</t>
  </si>
  <si>
    <t>05.04.2022</t>
  </si>
  <si>
    <t>ПО ЗАПОВЕД / ОТКАЗАН ЗА СКЛЮЧВАНЕ от кандидата</t>
  </si>
  <si>
    <t>13.01.2021</t>
  </si>
  <si>
    <t>18.11.2021</t>
  </si>
  <si>
    <t>BG06RDNP001-19.548-0001</t>
  </si>
  <si>
    <t>BG06RDNP001-19.548-0002</t>
  </si>
  <si>
    <t>BG06RDNP001-19.548-0003</t>
  </si>
  <si>
    <t>BG06RDNP001-19.548-0004</t>
  </si>
  <si>
    <t>BG06RDNP001-19.762-0001</t>
  </si>
  <si>
    <t>BG06RDNP001-19.762-0003</t>
  </si>
  <si>
    <t>BG06RDNP001-19.762-0004</t>
  </si>
  <si>
    <t>09.09.2019</t>
  </si>
  <si>
    <t>11.06.2020</t>
  </si>
  <si>
    <t>30.06.2020</t>
  </si>
  <si>
    <t>11.09.2020</t>
  </si>
  <si>
    <t>15.03.2023</t>
  </si>
  <si>
    <t>BG06RDNP001-19.338-0001</t>
  </si>
  <si>
    <t>BG06RDNP001-19.338-0002</t>
  </si>
  <si>
    <t>BG06RDNP001-19.338-0003</t>
  </si>
  <si>
    <t>BG06RDNP001-19.338-0005</t>
  </si>
  <si>
    <t>BG06RDNP001-19.338-0006</t>
  </si>
  <si>
    <t>BG06RDNP001-19.761-0001</t>
  </si>
  <si>
    <t>BG06RDNP001-19.761-0002</t>
  </si>
  <si>
    <t>02.02.2022</t>
  </si>
  <si>
    <t>01.04.2022</t>
  </si>
  <si>
    <t>27.04.2021</t>
  </si>
  <si>
    <t>30.9.2020
Отказан за изпълнение договор от Бенефициента</t>
  </si>
  <si>
    <t>21.10.2020
Отказан за изпълнение договор от Бенефициента</t>
  </si>
  <si>
    <t>3.8.2023
Отказан за изпълнение договор от Бенефициента</t>
  </si>
  <si>
    <t>3.2.2020
Отказан за изпълнение договор от Бенефициента</t>
  </si>
  <si>
    <t>01.03.2022
Отказан за изпълнение договор от Бенефициента</t>
  </si>
  <si>
    <t>Отказанот кандидата  проект</t>
  </si>
  <si>
    <t>Отказан от кандидата проект</t>
  </si>
  <si>
    <t>31.03.2022
Отказан за изпълнение договор от Бенефициента</t>
  </si>
  <si>
    <t>05.04.2022
Отказан за изпълнение договор от Бенефициента</t>
  </si>
  <si>
    <t xml:space="preserve">Николай  Петров </t>
  </si>
  <si>
    <t>ЗС Слави Ангелов (Булстат за свободни професии (ЕГН): 8104298062)</t>
  </si>
  <si>
    <t>Валентин  Димитров (Булстат: 179821714)</t>
  </si>
  <si>
    <t>Николай Петров (Булстат: 124649399)</t>
  </si>
  <si>
    <t xml:space="preserve">ЗС ХРИСТОИГНАТОВ (Булстат: </t>
  </si>
  <si>
    <t xml:space="preserve">ЗС Гюлбахар  Сали (Булстат за свободни професии (ЕГН): </t>
  </si>
  <si>
    <t xml:space="preserve">ЗС Танер  Юсню (Булстат за свободни професии (ЕГН): </t>
  </si>
  <si>
    <t>ЗС Славян Славов (Булстат за свободни професии (ЕГН):</t>
  </si>
  <si>
    <t xml:space="preserve">ЗП НИКОЛАЙ КОЛЕВ </t>
  </si>
  <si>
    <t>Земеделски стопанин Румяна  Русева</t>
  </si>
  <si>
    <t xml:space="preserve">ЗС ДЕЯН ПЕТРОВ </t>
  </si>
  <si>
    <t xml:space="preserve">Таня  Рачева </t>
  </si>
  <si>
    <t>ЗП Константин  Георгиев</t>
  </si>
  <si>
    <t>Димитър Иванов</t>
  </si>
  <si>
    <t>ЗС МЕЛИХА ДЮКЯНДЖИ</t>
  </si>
  <si>
    <t xml:space="preserve">ХРИСТО  ИГНАТОВ </t>
  </si>
  <si>
    <t xml:space="preserve">ЗС Живко  Петров </t>
  </si>
  <si>
    <t xml:space="preserve">ЗС Росица  Петрова </t>
  </si>
  <si>
    <t xml:space="preserve">ЗП Иван Иванов </t>
  </si>
  <si>
    <t>"Подобряване конкурентноспособността на ЗП Иван  Иванов"</t>
  </si>
  <si>
    <t xml:space="preserve">Венцислав  Вълчев </t>
  </si>
  <si>
    <t>Иван  Иванов - земеделски стопанин физическо лице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</si>
</sst>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6" formatCode="0.000"/>
  </numFmts>
  <fonts count="7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i/>
      <u/>
      <sz val="9"/>
      <color theme="1"/>
      <name val="Times New Roman"/>
      <family val="1"/>
      <charset val="204"/>
    </font>
    <font>
      <i/>
      <u/>
      <sz val="11"/>
      <color theme="1"/>
      <name val="Calibri"/>
      <family val="2"/>
      <charset val="204"/>
      <scheme val="minor"/>
    </font>
    <font>
      <i/>
      <sz val="12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9"/>
      <color rgb="FF000000"/>
      <name val="Times New Roman"/>
      <family val="1"/>
      <charset val="204"/>
    </font>
    <font>
      <b/>
      <i/>
      <u/>
      <sz val="9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i/>
      <sz val="9"/>
      <name val="Times New Roman"/>
      <family val="1"/>
      <charset val="204"/>
    </font>
    <font>
      <b/>
      <i/>
      <u/>
      <sz val="9"/>
      <color theme="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</font>
    <font>
      <i/>
      <u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1"/>
      <name val="Segoe UI"/>
      <family val="2"/>
      <charset val="204"/>
    </font>
    <font>
      <b/>
      <sz val="9"/>
      <color indexed="81"/>
      <name val="Segoe UI"/>
      <family val="2"/>
      <charset val="204"/>
    </font>
    <font>
      <b/>
      <sz val="9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u/>
      <sz val="9"/>
      <color rgb="FF000000"/>
      <name val="Times New Roman"/>
      <family val="1"/>
      <charset val="204"/>
    </font>
    <font>
      <i/>
      <sz val="9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rgb="FF333333"/>
      <name val="Arial"/>
      <family val="2"/>
      <charset val="204"/>
    </font>
    <font>
      <sz val="8"/>
      <color rgb="FF333333"/>
      <name val="Cambria"/>
      <family val="1"/>
      <charset val="204"/>
    </font>
    <font>
      <i/>
      <sz val="9"/>
      <color theme="1"/>
      <name val="Times New Roman"/>
      <family val="1"/>
      <charset val="204"/>
    </font>
    <font>
      <sz val="9"/>
      <color rgb="FF000000"/>
      <name val="Cambria"/>
      <family val="1"/>
      <charset val="204"/>
    </font>
    <font>
      <b/>
      <sz val="9"/>
      <color rgb="FF000000"/>
      <name val="Cambria"/>
      <family val="1"/>
      <charset val="204"/>
    </font>
    <font>
      <i/>
      <sz val="9"/>
      <color rgb="FF000000"/>
      <name val="Cambria"/>
      <family val="1"/>
      <charset val="204"/>
    </font>
    <font>
      <sz val="9"/>
      <color rgb="FFFF0000"/>
      <name val="Cambria"/>
      <family val="1"/>
      <charset val="204"/>
    </font>
    <font>
      <u/>
      <sz val="11"/>
      <color theme="10"/>
      <name val="Calibri"/>
      <family val="2"/>
      <scheme val="minor"/>
    </font>
    <font>
      <b/>
      <sz val="8"/>
      <color rgb="FF333333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rgb="FF333333"/>
      <name val="Calibri"/>
      <family val="2"/>
      <charset val="204"/>
    </font>
    <font>
      <sz val="8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i/>
      <u/>
      <sz val="8"/>
      <name val="Times New Roman"/>
      <family val="1"/>
      <charset val="204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333333"/>
      <name val="Calibri"/>
      <family val="2"/>
    </font>
    <font>
      <sz val="8"/>
      <color theme="4"/>
      <name val="Times New Roman"/>
      <family val="1"/>
      <charset val="204"/>
    </font>
    <font>
      <sz val="9"/>
      <color rgb="FF333333"/>
      <name val="Roboto"/>
    </font>
    <font>
      <sz val="9"/>
      <color rgb="FFC00000"/>
      <name val="Times New Roman"/>
      <family val="1"/>
      <charset val="204"/>
    </font>
    <font>
      <b/>
      <sz val="11"/>
      <color rgb="FF333333"/>
      <name val="Calibri"/>
      <family val="2"/>
    </font>
    <font>
      <sz val="11"/>
      <color rgb="FF333333"/>
      <name val="Calibri"/>
      <family val="2"/>
      <charset val="204"/>
    </font>
    <font>
      <sz val="9"/>
      <color rgb="FF333333"/>
      <name val="Times New Roman"/>
      <family val="1"/>
      <charset val="204"/>
    </font>
    <font>
      <b/>
      <sz val="9"/>
      <color rgb="FF333333"/>
      <name val="Times New Roman"/>
      <family val="1"/>
      <charset val="204"/>
    </font>
    <font>
      <sz val="11"/>
      <color rgb="FFED0000"/>
      <name val="Calibri"/>
      <family val="2"/>
      <charset val="204"/>
    </font>
    <font>
      <sz val="11"/>
      <color rgb="FFED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  <charset val="204"/>
    </font>
    <font>
      <b/>
      <sz val="11"/>
      <color rgb="FFFF0000"/>
      <name val="Calibri"/>
      <family val="2"/>
      <charset val="204"/>
    </font>
    <font>
      <sz val="11"/>
      <color rgb="FF000000"/>
      <name val="Calibri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AEAAAA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indexed="64"/>
      </patternFill>
    </fill>
  </fills>
  <borders count="8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B4C6E7"/>
      </left>
      <right style="medium">
        <color rgb="FFB4C6E7"/>
      </right>
      <top style="medium">
        <color rgb="FFB4C6E7"/>
      </top>
      <bottom/>
      <diagonal/>
    </border>
    <border>
      <left style="medium">
        <color rgb="FFB4C6E7"/>
      </left>
      <right style="medium">
        <color rgb="FFB4C6E7"/>
      </right>
      <top/>
      <bottom style="thick">
        <color rgb="FF9CC2E5"/>
      </bottom>
      <diagonal/>
    </border>
    <border>
      <left/>
      <right style="medium">
        <color rgb="FFB4C6E7"/>
      </right>
      <top/>
      <bottom style="thick">
        <color rgb="FF9CC2E5"/>
      </bottom>
      <diagonal/>
    </border>
    <border>
      <left/>
      <right style="medium">
        <color rgb="FFB4C6E7"/>
      </right>
      <top style="medium">
        <color rgb="FFB4C6E7"/>
      </top>
      <bottom style="medium">
        <color rgb="FF5B9BD5"/>
      </bottom>
      <diagonal/>
    </border>
    <border>
      <left style="medium">
        <color rgb="FFB4C6E7"/>
      </left>
      <right style="medium">
        <color rgb="FFB4C6E7"/>
      </right>
      <top/>
      <bottom style="medium">
        <color rgb="FF9CC2E5"/>
      </bottom>
      <diagonal/>
    </border>
    <border>
      <left/>
      <right style="medium">
        <color rgb="FFB4C6E7"/>
      </right>
      <top/>
      <bottom style="medium">
        <color rgb="FF9CC2E5"/>
      </bottom>
      <diagonal/>
    </border>
    <border>
      <left/>
      <right style="medium">
        <color rgb="FFB4C6E7"/>
      </right>
      <top/>
      <bottom/>
      <diagonal/>
    </border>
    <border>
      <left style="medium">
        <color rgb="FFB4C6E7"/>
      </left>
      <right style="medium">
        <color rgb="FFB4C6E7"/>
      </right>
      <top/>
      <bottom style="medium">
        <color rgb="FFB4C6E7"/>
      </bottom>
      <diagonal/>
    </border>
    <border>
      <left/>
      <right style="medium">
        <color rgb="FFB4C6E7"/>
      </right>
      <top/>
      <bottom style="medium">
        <color rgb="FFB4C6E7"/>
      </bottom>
      <diagonal/>
    </border>
    <border>
      <left style="medium">
        <color rgb="FFB4C6E7"/>
      </left>
      <right style="medium">
        <color rgb="FFB4C6E7"/>
      </right>
      <top/>
      <bottom style="thick">
        <color rgb="FF5B9BD5"/>
      </bottom>
      <diagonal/>
    </border>
    <border>
      <left/>
      <right style="medium">
        <color rgb="FFB4C6E7"/>
      </right>
      <top/>
      <bottom style="thick">
        <color rgb="FF5B9BD5"/>
      </bottom>
      <diagonal/>
    </border>
    <border>
      <left style="medium">
        <color rgb="FFB4C6E7"/>
      </left>
      <right/>
      <top style="medium">
        <color rgb="FFB4C6E7"/>
      </top>
      <bottom style="medium">
        <color rgb="FF5B9BD5"/>
      </bottom>
      <diagonal/>
    </border>
    <border>
      <left style="medium">
        <color rgb="FFB4C6E7"/>
      </left>
      <right/>
      <top style="thick">
        <color rgb="FF9CC2E5"/>
      </top>
      <bottom style="medium">
        <color rgb="FF9CC2E5"/>
      </bottom>
      <diagonal/>
    </border>
    <border>
      <left/>
      <right style="medium">
        <color rgb="FFB4C6E7"/>
      </right>
      <top style="thick">
        <color rgb="FF9CC2E5"/>
      </top>
      <bottom style="medium">
        <color rgb="FF9CC2E5"/>
      </bottom>
      <diagonal/>
    </border>
    <border>
      <left style="medium">
        <color rgb="FFB4C6E7"/>
      </left>
      <right style="medium">
        <color rgb="FFB4C6E7"/>
      </right>
      <top style="medium">
        <color rgb="FF9CC2E5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B4C6E7"/>
      </top>
      <bottom style="medium">
        <color rgb="FF5B9BD5"/>
      </bottom>
      <diagonal/>
    </border>
    <border>
      <left style="medium">
        <color rgb="FFB4C6E7"/>
      </left>
      <right/>
      <top style="medium">
        <color rgb="FFB4C6E7"/>
      </top>
      <bottom style="medium">
        <color rgb="FF9CC2E5"/>
      </bottom>
      <diagonal/>
    </border>
    <border>
      <left/>
      <right style="medium">
        <color rgb="FFB4C6E7"/>
      </right>
      <top style="medium">
        <color rgb="FFB4C6E7"/>
      </top>
      <bottom style="medium">
        <color rgb="FF9CC2E5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B4C6E7"/>
      </right>
      <top style="medium">
        <color rgb="FFB4C6E7"/>
      </top>
      <bottom/>
      <diagonal/>
    </border>
    <border>
      <left style="medium">
        <color rgb="FFB4C6E7"/>
      </left>
      <right/>
      <top/>
      <bottom style="medium">
        <color rgb="FF9CC2E5"/>
      </bottom>
      <diagonal/>
    </border>
    <border>
      <left style="medium">
        <color rgb="FF5B9BD5"/>
      </left>
      <right style="medium">
        <color rgb="FFB4C6E7"/>
      </right>
      <top/>
      <bottom/>
      <diagonal/>
    </border>
    <border>
      <left style="medium">
        <color rgb="FFB4C6E7"/>
      </left>
      <right/>
      <top style="medium">
        <color rgb="FF5B9BD5"/>
      </top>
      <bottom style="thick">
        <color rgb="FF9CC2E5"/>
      </bottom>
      <diagonal/>
    </border>
    <border>
      <left/>
      <right style="medium">
        <color rgb="FFB4C6E7"/>
      </right>
      <top style="medium">
        <color rgb="FF5B9BD5"/>
      </top>
      <bottom style="thick">
        <color rgb="FF9CC2E5"/>
      </bottom>
      <diagonal/>
    </border>
    <border>
      <left style="medium">
        <color rgb="FFB4C6E7"/>
      </left>
      <right/>
      <top style="medium">
        <color rgb="FF9CC2E5"/>
      </top>
      <bottom/>
      <diagonal/>
    </border>
    <border>
      <left/>
      <right style="medium">
        <color rgb="FF5B9BD5"/>
      </right>
      <top style="medium">
        <color rgb="FF9CC2E5"/>
      </top>
      <bottom/>
      <diagonal/>
    </border>
    <border>
      <left/>
      <right style="medium">
        <color rgb="FFB4C6E7"/>
      </right>
      <top style="medium">
        <color rgb="FF9CC2E5"/>
      </top>
      <bottom/>
      <diagonal/>
    </border>
    <border>
      <left style="medium">
        <color rgb="FFB4C6E7"/>
      </left>
      <right/>
      <top/>
      <bottom style="medium">
        <color rgb="FFB4C6E7"/>
      </bottom>
      <diagonal/>
    </border>
    <border>
      <left style="medium">
        <color rgb="FFB4C6E7"/>
      </left>
      <right/>
      <top style="medium">
        <color rgb="FFB4C6E7"/>
      </top>
      <bottom style="medium">
        <color rgb="FFB4C6E7"/>
      </bottom>
      <diagonal/>
    </border>
    <border>
      <left/>
      <right style="medium">
        <color rgb="FFB4C6E7"/>
      </right>
      <top style="medium">
        <color rgb="FFB4C6E7"/>
      </top>
      <bottom style="medium">
        <color rgb="FFB4C6E7"/>
      </bottom>
      <diagonal/>
    </border>
    <border>
      <left style="medium">
        <color rgb="FFB4C6E7"/>
      </left>
      <right/>
      <top style="medium">
        <color rgb="FFB4C6E7"/>
      </top>
      <bottom/>
      <diagonal/>
    </border>
    <border>
      <left style="medium">
        <color rgb="FFB4C6E7"/>
      </left>
      <right/>
      <top style="medium">
        <color rgb="FFB4C6E7"/>
      </top>
      <bottom style="thick">
        <color rgb="FF5B9BD5"/>
      </bottom>
      <diagonal/>
    </border>
    <border>
      <left/>
      <right style="medium">
        <color rgb="FFB4C6E7"/>
      </right>
      <top style="medium">
        <color rgb="FFB4C6E7"/>
      </top>
      <bottom style="thick">
        <color rgb="FF5B9BD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5" fillId="0" borderId="0" applyBorder="0"/>
    <xf numFmtId="0" fontId="43" fillId="0" borderId="0" applyNumberFormat="0" applyFill="0" applyBorder="0" applyAlignment="0" applyProtection="0"/>
  </cellStyleXfs>
  <cellXfs count="721">
    <xf numFmtId="0" fontId="0" fillId="0" borderId="0" xfId="0"/>
    <xf numFmtId="0" fontId="4" fillId="2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3" fontId="3" fillId="5" borderId="14" xfId="0" applyNumberFormat="1" applyFont="1" applyFill="1" applyBorder="1" applyAlignment="1">
      <alignment horizontal="right" vertical="center" wrapText="1"/>
    </xf>
    <xf numFmtId="0" fontId="3" fillId="5" borderId="14" xfId="0" applyFont="1" applyFill="1" applyBorder="1" applyAlignment="1">
      <alignment horizontal="right" vertical="center" wrapText="1" indent="1"/>
    </xf>
    <xf numFmtId="0" fontId="2" fillId="0" borderId="15" xfId="0" applyFont="1" applyBorder="1" applyAlignment="1">
      <alignment horizontal="justify" vertical="center" wrapText="1"/>
    </xf>
    <xf numFmtId="0" fontId="8" fillId="0" borderId="14" xfId="0" applyFont="1" applyBorder="1" applyAlignment="1">
      <alignment horizontal="justify" vertical="center" wrapText="1"/>
    </xf>
    <xf numFmtId="0" fontId="2" fillId="0" borderId="15" xfId="0" applyFont="1" applyBorder="1" applyAlignment="1">
      <alignment horizontal="left" vertical="center" wrapText="1" indent="1"/>
    </xf>
    <xf numFmtId="0" fontId="8" fillId="0" borderId="17" xfId="0" applyFont="1" applyBorder="1" applyAlignment="1">
      <alignment horizontal="left" vertical="center" wrapText="1" indent="1"/>
    </xf>
    <xf numFmtId="0" fontId="3" fillId="5" borderId="17" xfId="0" applyFont="1" applyFill="1" applyBorder="1" applyAlignment="1">
      <alignment horizontal="right" vertical="center"/>
    </xf>
    <xf numFmtId="0" fontId="3" fillId="5" borderId="17" xfId="0" applyFont="1" applyFill="1" applyBorder="1" applyAlignment="1">
      <alignment horizontal="right" vertical="center" indent="1"/>
    </xf>
    <xf numFmtId="0" fontId="2" fillId="0" borderId="18" xfId="0" applyFont="1" applyBorder="1" applyAlignment="1">
      <alignment vertical="top"/>
    </xf>
    <xf numFmtId="0" fontId="3" fillId="0" borderId="19" xfId="0" applyFont="1" applyBorder="1" applyAlignment="1">
      <alignment horizontal="left" vertical="center" wrapText="1" indent="1"/>
    </xf>
    <xf numFmtId="3" fontId="3" fillId="0" borderId="19" xfId="0" applyNumberFormat="1" applyFont="1" applyBorder="1" applyAlignment="1">
      <alignment horizontal="right" vertical="center"/>
    </xf>
    <xf numFmtId="0" fontId="3" fillId="0" borderId="19" xfId="0" applyFont="1" applyBorder="1" applyAlignment="1">
      <alignment horizontal="right" vertical="center"/>
    </xf>
    <xf numFmtId="2" fontId="3" fillId="5" borderId="14" xfId="0" applyNumberFormat="1" applyFont="1" applyFill="1" applyBorder="1" applyAlignment="1">
      <alignment horizontal="right" vertical="center" wrapText="1" indent="1"/>
    </xf>
    <xf numFmtId="2" fontId="3" fillId="5" borderId="17" xfId="0" applyNumberFormat="1" applyFont="1" applyFill="1" applyBorder="1" applyAlignment="1">
      <alignment horizontal="right" vertical="center" wrapText="1" indent="1"/>
    </xf>
    <xf numFmtId="2" fontId="3" fillId="0" borderId="19" xfId="0" applyNumberFormat="1" applyFont="1" applyBorder="1" applyAlignment="1">
      <alignment horizontal="right" vertical="center" wrapText="1"/>
    </xf>
    <xf numFmtId="2" fontId="5" fillId="0" borderId="6" xfId="0" applyNumberFormat="1" applyFont="1" applyBorder="1" applyAlignment="1">
      <alignment vertical="center" wrapText="1"/>
    </xf>
    <xf numFmtId="0" fontId="9" fillId="0" borderId="0" xfId="0" applyFont="1"/>
    <xf numFmtId="0" fontId="10" fillId="0" borderId="0" xfId="0" applyFont="1"/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16" fontId="5" fillId="0" borderId="3" xfId="0" applyNumberFormat="1" applyFont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10" fontId="4" fillId="3" borderId="6" xfId="0" applyNumberFormat="1" applyFont="1" applyFill="1" applyBorder="1" applyAlignment="1">
      <alignment vertical="center" wrapText="1"/>
    </xf>
    <xf numFmtId="0" fontId="7" fillId="0" borderId="24" xfId="0" applyFont="1" applyBorder="1"/>
    <xf numFmtId="0" fontId="12" fillId="0" borderId="0" xfId="0" applyFont="1"/>
    <xf numFmtId="0" fontId="4" fillId="3" borderId="2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26" xfId="0" applyFont="1" applyBorder="1" applyAlignment="1">
      <alignment horizontal="justify" vertical="center" wrapText="1"/>
    </xf>
    <xf numFmtId="0" fontId="13" fillId="0" borderId="6" xfId="0" applyFont="1" applyBorder="1" applyAlignment="1">
      <alignment horizontal="justify" vertical="center" wrapText="1"/>
    </xf>
    <xf numFmtId="0" fontId="4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2" fontId="4" fillId="0" borderId="6" xfId="0" applyNumberFormat="1" applyFont="1" applyBorder="1" applyAlignment="1">
      <alignment vertical="center" wrapText="1"/>
    </xf>
    <xf numFmtId="2" fontId="4" fillId="3" borderId="6" xfId="0" applyNumberFormat="1" applyFont="1" applyFill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2" fontId="15" fillId="0" borderId="6" xfId="0" applyNumberFormat="1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6" fillId="3" borderId="6" xfId="0" applyFont="1" applyFill="1" applyBorder="1" applyAlignment="1">
      <alignment vertical="center" wrapText="1"/>
    </xf>
    <xf numFmtId="2" fontId="16" fillId="3" borderId="6" xfId="0" applyNumberFormat="1" applyFont="1" applyFill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17" fillId="0" borderId="0" xfId="0" applyFont="1"/>
    <xf numFmtId="0" fontId="21" fillId="0" borderId="6" xfId="0" applyFont="1" applyBorder="1" applyAlignment="1">
      <alignment vertical="center" wrapText="1"/>
    </xf>
    <xf numFmtId="4" fontId="15" fillId="0" borderId="6" xfId="0" applyNumberFormat="1" applyFont="1" applyBorder="1" applyAlignment="1">
      <alignment vertical="center" wrapText="1"/>
    </xf>
    <xf numFmtId="0" fontId="24" fillId="0" borderId="36" xfId="0" applyFont="1" applyBorder="1" applyAlignment="1">
      <alignment vertical="center" wrapText="1"/>
    </xf>
    <xf numFmtId="0" fontId="27" fillId="0" borderId="0" xfId="0" applyFont="1"/>
    <xf numFmtId="1" fontId="4" fillId="0" borderId="6" xfId="0" applyNumberFormat="1" applyFont="1" applyBorder="1" applyAlignment="1">
      <alignment vertical="center" wrapText="1"/>
    </xf>
    <xf numFmtId="1" fontId="4" fillId="3" borderId="6" xfId="0" applyNumberFormat="1" applyFont="1" applyFill="1" applyBorder="1" applyAlignment="1">
      <alignment vertical="center" wrapText="1"/>
    </xf>
    <xf numFmtId="0" fontId="31" fillId="0" borderId="0" xfId="0" applyFont="1"/>
    <xf numFmtId="0" fontId="5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36" xfId="0" applyFont="1" applyBorder="1" applyAlignment="1">
      <alignment vertical="center" wrapText="1"/>
    </xf>
    <xf numFmtId="0" fontId="14" fillId="0" borderId="36" xfId="0" applyFont="1" applyBorder="1" applyAlignment="1">
      <alignment vertical="center" wrapText="1"/>
    </xf>
    <xf numFmtId="0" fontId="15" fillId="0" borderId="45" xfId="0" applyFont="1" applyBorder="1" applyAlignment="1">
      <alignment vertical="center" wrapText="1"/>
    </xf>
    <xf numFmtId="0" fontId="15" fillId="0" borderId="34" xfId="0" applyFont="1" applyBorder="1" applyAlignment="1">
      <alignment vertical="center" wrapText="1"/>
    </xf>
    <xf numFmtId="0" fontId="4" fillId="6" borderId="36" xfId="0" applyFont="1" applyFill="1" applyBorder="1" applyAlignment="1">
      <alignment vertical="center" wrapText="1"/>
    </xf>
    <xf numFmtId="4" fontId="23" fillId="6" borderId="36" xfId="0" applyNumberFormat="1" applyFont="1" applyFill="1" applyBorder="1" applyAlignment="1">
      <alignment vertical="center" wrapText="1"/>
    </xf>
    <xf numFmtId="1" fontId="5" fillId="0" borderId="6" xfId="0" applyNumberFormat="1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1" fontId="16" fillId="0" borderId="6" xfId="0" applyNumberFormat="1" applyFont="1" applyBorder="1" applyAlignment="1">
      <alignment vertical="center" wrapText="1"/>
    </xf>
    <xf numFmtId="0" fontId="26" fillId="0" borderId="0" xfId="0" applyFont="1" applyAlignment="1">
      <alignment horizontal="center" wrapText="1"/>
    </xf>
    <xf numFmtId="0" fontId="4" fillId="3" borderId="4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2" fontId="5" fillId="0" borderId="25" xfId="0" applyNumberFormat="1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2" fontId="5" fillId="0" borderId="36" xfId="0" applyNumberFormat="1" applyFont="1" applyBorder="1" applyAlignment="1">
      <alignment vertical="center" wrapText="1"/>
    </xf>
    <xf numFmtId="0" fontId="15" fillId="0" borderId="36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5" fillId="7" borderId="34" xfId="0" applyFont="1" applyFill="1" applyBorder="1" applyAlignment="1">
      <alignment vertical="center" wrapText="1"/>
    </xf>
    <xf numFmtId="2" fontId="4" fillId="6" borderId="36" xfId="0" applyNumberFormat="1" applyFont="1" applyFill="1" applyBorder="1" applyAlignment="1">
      <alignment vertical="center" wrapText="1"/>
    </xf>
    <xf numFmtId="4" fontId="30" fillId="6" borderId="36" xfId="0" applyNumberFormat="1" applyFont="1" applyFill="1" applyBorder="1" applyAlignment="1">
      <alignment vertical="center" wrapText="1"/>
    </xf>
    <xf numFmtId="4" fontId="4" fillId="6" borderId="36" xfId="0" applyNumberFormat="1" applyFont="1" applyFill="1" applyBorder="1" applyAlignment="1">
      <alignment vertical="center" wrapText="1"/>
    </xf>
    <xf numFmtId="2" fontId="4" fillId="9" borderId="36" xfId="0" applyNumberFormat="1" applyFont="1" applyFill="1" applyBorder="1" applyAlignment="1">
      <alignment vertical="center" wrapText="1"/>
    </xf>
    <xf numFmtId="0" fontId="4" fillId="9" borderId="36" xfId="0" applyFont="1" applyFill="1" applyBorder="1" applyAlignment="1">
      <alignment vertical="center" wrapText="1"/>
    </xf>
    <xf numFmtId="0" fontId="4" fillId="9" borderId="34" xfId="0" applyFont="1" applyFill="1" applyBorder="1" applyAlignment="1">
      <alignment vertical="center" wrapText="1"/>
    </xf>
    <xf numFmtId="0" fontId="4" fillId="7" borderId="34" xfId="0" applyFont="1" applyFill="1" applyBorder="1" applyAlignment="1">
      <alignment vertical="center" wrapText="1"/>
    </xf>
    <xf numFmtId="49" fontId="5" fillId="14" borderId="36" xfId="1" applyNumberFormat="1" applyFont="1" applyFill="1" applyBorder="1" applyAlignment="1">
      <alignment wrapText="1"/>
    </xf>
    <xf numFmtId="0" fontId="5" fillId="14" borderId="36" xfId="0" applyFont="1" applyFill="1" applyBorder="1" applyAlignment="1">
      <alignment vertical="center" wrapText="1"/>
    </xf>
    <xf numFmtId="0" fontId="4" fillId="14" borderId="36" xfId="0" applyFont="1" applyFill="1" applyBorder="1" applyAlignment="1">
      <alignment vertical="center" wrapText="1"/>
    </xf>
    <xf numFmtId="0" fontId="4" fillId="14" borderId="34" xfId="0" applyFont="1" applyFill="1" applyBorder="1" applyAlignment="1">
      <alignment vertical="center" wrapText="1"/>
    </xf>
    <xf numFmtId="0" fontId="14" fillId="7" borderId="34" xfId="0" applyFont="1" applyFill="1" applyBorder="1" applyAlignment="1">
      <alignment vertical="center" wrapText="1"/>
    </xf>
    <xf numFmtId="0" fontId="14" fillId="14" borderId="36" xfId="0" applyFont="1" applyFill="1" applyBorder="1" applyAlignment="1">
      <alignment vertical="center" wrapText="1"/>
    </xf>
    <xf numFmtId="0" fontId="30" fillId="0" borderId="36" xfId="0" applyFont="1" applyBorder="1" applyAlignment="1">
      <alignment vertical="center" wrapText="1"/>
    </xf>
    <xf numFmtId="0" fontId="34" fillId="0" borderId="0" xfId="0" applyFont="1"/>
    <xf numFmtId="49" fontId="5" fillId="0" borderId="36" xfId="1" applyNumberFormat="1" applyFont="1" applyBorder="1" applyAlignment="1">
      <alignment wrapText="1"/>
    </xf>
    <xf numFmtId="0" fontId="16" fillId="0" borderId="36" xfId="0" applyFont="1" applyBorder="1" applyAlignment="1">
      <alignment vertical="center" wrapText="1"/>
    </xf>
    <xf numFmtId="2" fontId="4" fillId="0" borderId="36" xfId="0" applyNumberFormat="1" applyFont="1" applyBorder="1" applyAlignment="1">
      <alignment vertical="center" wrapText="1"/>
    </xf>
    <xf numFmtId="0" fontId="36" fillId="0" borderId="0" xfId="0" applyFont="1"/>
    <xf numFmtId="4" fontId="5" fillId="0" borderId="36" xfId="0" applyNumberFormat="1" applyFont="1" applyBorder="1" applyAlignment="1">
      <alignment vertical="center" wrapText="1"/>
    </xf>
    <xf numFmtId="2" fontId="4" fillId="12" borderId="36" xfId="0" applyNumberFormat="1" applyFont="1" applyFill="1" applyBorder="1" applyAlignment="1">
      <alignment vertical="center" wrapText="1"/>
    </xf>
    <xf numFmtId="4" fontId="30" fillId="6" borderId="36" xfId="0" applyNumberFormat="1" applyFont="1" applyFill="1" applyBorder="1" applyAlignment="1">
      <alignment horizontal="right" vertical="center" wrapText="1"/>
    </xf>
    <xf numFmtId="0" fontId="14" fillId="12" borderId="36" xfId="0" applyFont="1" applyFill="1" applyBorder="1" applyAlignment="1">
      <alignment vertical="center" wrapText="1"/>
    </xf>
    <xf numFmtId="0" fontId="30" fillId="12" borderId="36" xfId="0" applyFont="1" applyFill="1" applyBorder="1" applyAlignment="1">
      <alignment vertical="center" wrapText="1"/>
    </xf>
    <xf numFmtId="2" fontId="5" fillId="10" borderId="36" xfId="0" applyNumberFormat="1" applyFont="1" applyFill="1" applyBorder="1" applyAlignment="1">
      <alignment vertical="center" wrapText="1"/>
    </xf>
    <xf numFmtId="16" fontId="5" fillId="10" borderId="36" xfId="0" applyNumberFormat="1" applyFont="1" applyFill="1" applyBorder="1" applyAlignment="1">
      <alignment vertical="center" wrapText="1"/>
    </xf>
    <xf numFmtId="0" fontId="5" fillId="10" borderId="36" xfId="0" applyFont="1" applyFill="1" applyBorder="1" applyAlignment="1">
      <alignment vertical="center" wrapText="1"/>
    </xf>
    <xf numFmtId="0" fontId="4" fillId="10" borderId="36" xfId="0" applyFont="1" applyFill="1" applyBorder="1" applyAlignment="1">
      <alignment vertical="center" wrapText="1"/>
    </xf>
    <xf numFmtId="0" fontId="14" fillId="10" borderId="36" xfId="0" applyFont="1" applyFill="1" applyBorder="1" applyAlignment="1">
      <alignment vertical="center" wrapText="1"/>
    </xf>
    <xf numFmtId="16" fontId="14" fillId="0" borderId="36" xfId="0" applyNumberFormat="1" applyFont="1" applyBorder="1" applyAlignment="1">
      <alignment vertical="center" wrapText="1"/>
    </xf>
    <xf numFmtId="0" fontId="14" fillId="0" borderId="35" xfId="0" applyFont="1" applyBorder="1" applyAlignment="1">
      <alignment vertical="center" wrapText="1"/>
    </xf>
    <xf numFmtId="0" fontId="15" fillId="10" borderId="36" xfId="0" applyFont="1" applyFill="1" applyBorder="1" applyAlignment="1">
      <alignment vertical="center" wrapText="1"/>
    </xf>
    <xf numFmtId="0" fontId="16" fillId="10" borderId="36" xfId="0" applyFont="1" applyFill="1" applyBorder="1" applyAlignment="1">
      <alignment vertical="center" wrapText="1"/>
    </xf>
    <xf numFmtId="0" fontId="15" fillId="7" borderId="34" xfId="0" applyFont="1" applyFill="1" applyBorder="1" applyAlignment="1">
      <alignment vertical="center" wrapText="1"/>
    </xf>
    <xf numFmtId="2" fontId="5" fillId="6" borderId="36" xfId="0" applyNumberFormat="1" applyFont="1" applyFill="1" applyBorder="1" applyAlignment="1">
      <alignment vertical="center" wrapText="1"/>
    </xf>
    <xf numFmtId="2" fontId="30" fillId="6" borderId="34" xfId="0" applyNumberFormat="1" applyFont="1" applyFill="1" applyBorder="1" applyAlignment="1">
      <alignment vertical="center" wrapText="1"/>
    </xf>
    <xf numFmtId="0" fontId="15" fillId="6" borderId="35" xfId="0" applyFont="1" applyFill="1" applyBorder="1" applyAlignment="1">
      <alignment vertical="center" wrapText="1"/>
    </xf>
    <xf numFmtId="0" fontId="15" fillId="6" borderId="36" xfId="0" applyFont="1" applyFill="1" applyBorder="1" applyAlignment="1">
      <alignment vertical="center" wrapText="1"/>
    </xf>
    <xf numFmtId="0" fontId="16" fillId="6" borderId="36" xfId="0" applyFont="1" applyFill="1" applyBorder="1" applyAlignment="1">
      <alignment vertical="center" wrapText="1"/>
    </xf>
    <xf numFmtId="2" fontId="15" fillId="6" borderId="36" xfId="0" applyNumberFormat="1" applyFont="1" applyFill="1" applyBorder="1" applyAlignment="1">
      <alignment vertical="center" wrapText="1"/>
    </xf>
    <xf numFmtId="0" fontId="5" fillId="12" borderId="36" xfId="0" applyFont="1" applyFill="1" applyBorder="1" applyAlignment="1">
      <alignment vertical="center" wrapText="1"/>
    </xf>
    <xf numFmtId="0" fontId="4" fillId="12" borderId="36" xfId="0" applyFont="1" applyFill="1" applyBorder="1" applyAlignment="1">
      <alignment vertical="center" wrapText="1"/>
    </xf>
    <xf numFmtId="2" fontId="27" fillId="10" borderId="36" xfId="0" applyNumberFormat="1" applyFont="1" applyFill="1" applyBorder="1"/>
    <xf numFmtId="16" fontId="24" fillId="10" borderId="36" xfId="0" applyNumberFormat="1" applyFont="1" applyFill="1" applyBorder="1" applyAlignment="1">
      <alignment vertical="center" wrapText="1"/>
    </xf>
    <xf numFmtId="0" fontId="1" fillId="10" borderId="36" xfId="0" applyFont="1" applyFill="1" applyBorder="1" applyAlignment="1">
      <alignment vertical="center" wrapText="1"/>
    </xf>
    <xf numFmtId="0" fontId="24" fillId="10" borderId="36" xfId="0" applyFont="1" applyFill="1" applyBorder="1" applyAlignment="1">
      <alignment vertical="center" wrapText="1"/>
    </xf>
    <xf numFmtId="2" fontId="27" fillId="0" borderId="36" xfId="0" applyNumberFormat="1" applyFont="1" applyBorder="1"/>
    <xf numFmtId="16" fontId="24" fillId="0" borderId="36" xfId="0" applyNumberFormat="1" applyFont="1" applyBorder="1" applyAlignment="1">
      <alignment vertical="center" wrapText="1"/>
    </xf>
    <xf numFmtId="0" fontId="1" fillId="0" borderId="36" xfId="0" applyFont="1" applyBorder="1" applyAlignment="1">
      <alignment vertical="center" wrapText="1"/>
    </xf>
    <xf numFmtId="4" fontId="34" fillId="13" borderId="0" xfId="0" applyNumberFormat="1" applyFont="1" applyFill="1"/>
    <xf numFmtId="4" fontId="24" fillId="0" borderId="36" xfId="0" applyNumberFormat="1" applyFont="1" applyBorder="1" applyAlignment="1">
      <alignment vertical="center" wrapText="1"/>
    </xf>
    <xf numFmtId="4" fontId="23" fillId="0" borderId="36" xfId="0" applyNumberFormat="1" applyFont="1" applyBorder="1" applyAlignment="1">
      <alignment vertical="center" wrapText="1"/>
    </xf>
    <xf numFmtId="49" fontId="24" fillId="0" borderId="36" xfId="1" applyNumberFormat="1" applyFont="1" applyBorder="1" applyAlignment="1">
      <alignment wrapText="1"/>
    </xf>
    <xf numFmtId="4" fontId="27" fillId="0" borderId="0" xfId="0" applyNumberFormat="1" applyFont="1"/>
    <xf numFmtId="0" fontId="27" fillId="13" borderId="0" xfId="0" applyFont="1" applyFill="1"/>
    <xf numFmtId="49" fontId="24" fillId="6" borderId="35" xfId="1" applyNumberFormat="1" applyFont="1" applyFill="1" applyBorder="1" applyAlignment="1">
      <alignment wrapText="1"/>
    </xf>
    <xf numFmtId="4" fontId="24" fillId="6" borderId="36" xfId="0" applyNumberFormat="1" applyFont="1" applyFill="1" applyBorder="1" applyAlignment="1">
      <alignment vertical="center" wrapText="1"/>
    </xf>
    <xf numFmtId="2" fontId="30" fillId="6" borderId="36" xfId="0" applyNumberFormat="1" applyFont="1" applyFill="1" applyBorder="1" applyAlignment="1">
      <alignment vertical="center" wrapText="1"/>
    </xf>
    <xf numFmtId="0" fontId="30" fillId="14" borderId="0" xfId="0" applyFont="1" applyFill="1"/>
    <xf numFmtId="0" fontId="23" fillId="0" borderId="36" xfId="0" applyFont="1" applyBorder="1" applyAlignment="1">
      <alignment vertical="center" wrapText="1"/>
    </xf>
    <xf numFmtId="3" fontId="22" fillId="6" borderId="34" xfId="0" applyNumberFormat="1" applyFont="1" applyFill="1" applyBorder="1" applyAlignment="1">
      <alignment vertical="center" wrapText="1"/>
    </xf>
    <xf numFmtId="0" fontId="24" fillId="6" borderId="35" xfId="0" applyFont="1" applyFill="1" applyBorder="1" applyAlignment="1">
      <alignment vertical="center" wrapText="1"/>
    </xf>
    <xf numFmtId="4" fontId="24" fillId="6" borderId="34" xfId="0" applyNumberFormat="1" applyFont="1" applyFill="1" applyBorder="1" applyAlignment="1">
      <alignment vertical="center" wrapText="1"/>
    </xf>
    <xf numFmtId="4" fontId="22" fillId="6" borderId="36" xfId="0" applyNumberFormat="1" applyFont="1" applyFill="1" applyBorder="1" applyAlignment="1">
      <alignment vertical="center" wrapText="1"/>
    </xf>
    <xf numFmtId="4" fontId="23" fillId="12" borderId="36" xfId="0" applyNumberFormat="1" applyFont="1" applyFill="1" applyBorder="1" applyAlignment="1">
      <alignment vertical="center" wrapText="1"/>
    </xf>
    <xf numFmtId="4" fontId="23" fillId="7" borderId="34" xfId="0" applyNumberFormat="1" applyFont="1" applyFill="1" applyBorder="1" applyAlignment="1">
      <alignment vertical="center" wrapText="1"/>
    </xf>
    <xf numFmtId="49" fontId="25" fillId="0" borderId="36" xfId="1" applyNumberFormat="1" applyBorder="1" applyAlignment="1">
      <alignment wrapText="1"/>
    </xf>
    <xf numFmtId="4" fontId="1" fillId="0" borderId="36" xfId="0" applyNumberFormat="1" applyFont="1" applyBorder="1"/>
    <xf numFmtId="4" fontId="20" fillId="0" borderId="36" xfId="0" applyNumberFormat="1" applyFont="1" applyBorder="1"/>
    <xf numFmtId="2" fontId="4" fillId="3" borderId="25" xfId="0" applyNumberFormat="1" applyFont="1" applyFill="1" applyBorder="1" applyAlignment="1">
      <alignment vertical="center" wrapText="1"/>
    </xf>
    <xf numFmtId="0" fontId="4" fillId="3" borderId="26" xfId="0" applyFont="1" applyFill="1" applyBorder="1" applyAlignment="1">
      <alignment vertical="center" wrapText="1"/>
    </xf>
    <xf numFmtId="4" fontId="4" fillId="3" borderId="6" xfId="0" applyNumberFormat="1" applyFont="1" applyFill="1" applyBorder="1" applyAlignment="1">
      <alignment vertical="center" wrapText="1"/>
    </xf>
    <xf numFmtId="2" fontId="34" fillId="0" borderId="36" xfId="0" applyNumberFormat="1" applyFont="1" applyBorder="1"/>
    <xf numFmtId="4" fontId="34" fillId="0" borderId="36" xfId="0" applyNumberFormat="1" applyFont="1" applyBorder="1"/>
    <xf numFmtId="0" fontId="27" fillId="0" borderId="36" xfId="0" applyFont="1" applyBorder="1"/>
    <xf numFmtId="2" fontId="27" fillId="6" borderId="36" xfId="0" applyNumberFormat="1" applyFont="1" applyFill="1" applyBorder="1"/>
    <xf numFmtId="49" fontId="27" fillId="6" borderId="36" xfId="0" applyNumberFormat="1" applyFont="1" applyFill="1" applyBorder="1"/>
    <xf numFmtId="49" fontId="27" fillId="0" borderId="36" xfId="0" applyNumberFormat="1" applyFont="1" applyBorder="1"/>
    <xf numFmtId="0" fontId="34" fillId="0" borderId="36" xfId="0" applyFont="1" applyBorder="1"/>
    <xf numFmtId="49" fontId="34" fillId="0" borderId="36" xfId="0" applyNumberFormat="1" applyFont="1" applyBorder="1"/>
    <xf numFmtId="2" fontId="27" fillId="0" borderId="0" xfId="0" applyNumberFormat="1" applyFont="1"/>
    <xf numFmtId="2" fontId="27" fillId="15" borderId="36" xfId="0" applyNumberFormat="1" applyFont="1" applyFill="1" applyBorder="1"/>
    <xf numFmtId="0" fontId="27" fillId="15" borderId="36" xfId="0" applyFont="1" applyFill="1" applyBorder="1"/>
    <xf numFmtId="14" fontId="27" fillId="15" borderId="36" xfId="0" applyNumberFormat="1" applyFont="1" applyFill="1" applyBorder="1"/>
    <xf numFmtId="2" fontId="34" fillId="11" borderId="36" xfId="0" applyNumberFormat="1" applyFont="1" applyFill="1" applyBorder="1"/>
    <xf numFmtId="49" fontId="14" fillId="10" borderId="36" xfId="1" applyNumberFormat="1" applyFont="1" applyFill="1" applyBorder="1" applyAlignment="1">
      <alignment wrapText="1"/>
    </xf>
    <xf numFmtId="0" fontId="30" fillId="10" borderId="36" xfId="0" applyFont="1" applyFill="1" applyBorder="1" applyAlignment="1">
      <alignment vertical="center" wrapText="1"/>
    </xf>
    <xf numFmtId="0" fontId="34" fillId="10" borderId="0" xfId="0" applyFont="1" applyFill="1"/>
    <xf numFmtId="0" fontId="14" fillId="10" borderId="34" xfId="0" applyFont="1" applyFill="1" applyBorder="1" applyAlignment="1">
      <alignment vertical="center" wrapText="1"/>
    </xf>
    <xf numFmtId="49" fontId="5" fillId="10" borderId="36" xfId="1" applyNumberFormat="1" applyFont="1" applyFill="1" applyBorder="1" applyAlignment="1">
      <alignment wrapText="1"/>
    </xf>
    <xf numFmtId="0" fontId="4" fillId="10" borderId="34" xfId="0" applyFont="1" applyFill="1" applyBorder="1" applyAlignment="1">
      <alignment vertical="center" wrapText="1"/>
    </xf>
    <xf numFmtId="0" fontId="27" fillId="10" borderId="0" xfId="0" applyFont="1" applyFill="1"/>
    <xf numFmtId="2" fontId="5" fillId="13" borderId="36" xfId="0" applyNumberFormat="1" applyFont="1" applyFill="1" applyBorder="1" applyAlignment="1">
      <alignment vertical="center" wrapText="1"/>
    </xf>
    <xf numFmtId="49" fontId="5" fillId="13" borderId="36" xfId="1" applyNumberFormat="1" applyFont="1" applyFill="1" applyBorder="1" applyAlignment="1">
      <alignment wrapText="1"/>
    </xf>
    <xf numFmtId="0" fontId="5" fillId="13" borderId="36" xfId="0" applyFont="1" applyFill="1" applyBorder="1" applyAlignment="1">
      <alignment vertical="center" wrapText="1"/>
    </xf>
    <xf numFmtId="0" fontId="4" fillId="13" borderId="36" xfId="0" applyFont="1" applyFill="1" applyBorder="1" applyAlignment="1">
      <alignment vertical="center" wrapText="1"/>
    </xf>
    <xf numFmtId="0" fontId="4" fillId="13" borderId="34" xfId="0" applyFont="1" applyFill="1" applyBorder="1" applyAlignment="1">
      <alignment vertical="center" wrapText="1"/>
    </xf>
    <xf numFmtId="0" fontId="14" fillId="13" borderId="34" xfId="0" applyFont="1" applyFill="1" applyBorder="1" applyAlignment="1">
      <alignment vertical="center" wrapText="1"/>
    </xf>
    <xf numFmtId="0" fontId="14" fillId="13" borderId="36" xfId="0" applyFont="1" applyFill="1" applyBorder="1" applyAlignment="1">
      <alignment vertical="center" wrapText="1"/>
    </xf>
    <xf numFmtId="2" fontId="4" fillId="10" borderId="36" xfId="0" applyNumberFormat="1" applyFont="1" applyFill="1" applyBorder="1" applyAlignment="1">
      <alignment vertical="center" wrapText="1"/>
    </xf>
    <xf numFmtId="0" fontId="35" fillId="10" borderId="0" xfId="0" applyFont="1" applyFill="1"/>
    <xf numFmtId="2" fontId="5" fillId="7" borderId="36" xfId="0" applyNumberFormat="1" applyFont="1" applyFill="1" applyBorder="1" applyAlignment="1">
      <alignment vertical="center" wrapText="1"/>
    </xf>
    <xf numFmtId="16" fontId="15" fillId="7" borderId="36" xfId="0" applyNumberFormat="1" applyFont="1" applyFill="1" applyBorder="1" applyAlignment="1">
      <alignment vertical="center" wrapText="1"/>
    </xf>
    <xf numFmtId="0" fontId="15" fillId="7" borderId="36" xfId="0" applyFont="1" applyFill="1" applyBorder="1" applyAlignment="1">
      <alignment vertical="center" wrapText="1"/>
    </xf>
    <xf numFmtId="0" fontId="16" fillId="7" borderId="36" xfId="0" applyFont="1" applyFill="1" applyBorder="1" applyAlignment="1">
      <alignment vertical="center" wrapText="1"/>
    </xf>
    <xf numFmtId="16" fontId="15" fillId="0" borderId="36" xfId="0" applyNumberFormat="1" applyFont="1" applyBorder="1" applyAlignment="1">
      <alignment vertical="center" wrapText="1"/>
    </xf>
    <xf numFmtId="10" fontId="15" fillId="0" borderId="36" xfId="0" applyNumberFormat="1" applyFont="1" applyBorder="1" applyAlignment="1">
      <alignment vertical="center" wrapText="1"/>
    </xf>
    <xf numFmtId="2" fontId="27" fillId="7" borderId="36" xfId="0" applyNumberFormat="1" applyFont="1" applyFill="1" applyBorder="1"/>
    <xf numFmtId="16" fontId="24" fillId="7" borderId="36" xfId="0" applyNumberFormat="1" applyFont="1" applyFill="1" applyBorder="1" applyAlignment="1">
      <alignment vertical="center" wrapText="1"/>
    </xf>
    <xf numFmtId="0" fontId="1" fillId="7" borderId="36" xfId="0" applyFont="1" applyFill="1" applyBorder="1" applyAlignment="1">
      <alignment vertical="center" wrapText="1"/>
    </xf>
    <xf numFmtId="0" fontId="24" fillId="7" borderId="36" xfId="0" applyFont="1" applyFill="1" applyBorder="1" applyAlignment="1">
      <alignment vertical="center" wrapText="1"/>
    </xf>
    <xf numFmtId="0" fontId="4" fillId="7" borderId="36" xfId="0" applyFont="1" applyFill="1" applyBorder="1" applyAlignment="1">
      <alignment vertical="center" wrapText="1"/>
    </xf>
    <xf numFmtId="0" fontId="5" fillId="7" borderId="36" xfId="0" applyFont="1" applyFill="1" applyBorder="1" applyAlignment="1">
      <alignment vertical="center" wrapText="1"/>
    </xf>
    <xf numFmtId="0" fontId="14" fillId="7" borderId="36" xfId="0" applyFont="1" applyFill="1" applyBorder="1" applyAlignment="1">
      <alignment vertical="center" wrapText="1"/>
    </xf>
    <xf numFmtId="2" fontId="27" fillId="11" borderId="36" xfId="0" applyNumberFormat="1" applyFont="1" applyFill="1" applyBorder="1"/>
    <xf numFmtId="16" fontId="24" fillId="11" borderId="36" xfId="0" applyNumberFormat="1" applyFont="1" applyFill="1" applyBorder="1" applyAlignment="1">
      <alignment vertical="center" wrapText="1"/>
    </xf>
    <xf numFmtId="0" fontId="1" fillId="11" borderId="36" xfId="0" applyFont="1" applyFill="1" applyBorder="1" applyAlignment="1">
      <alignment vertical="center" wrapText="1"/>
    </xf>
    <xf numFmtId="4" fontId="24" fillId="11" borderId="36" xfId="0" applyNumberFormat="1" applyFont="1" applyFill="1" applyBorder="1" applyAlignment="1">
      <alignment vertical="center" wrapText="1"/>
    </xf>
    <xf numFmtId="4" fontId="23" fillId="11" borderId="36" xfId="0" applyNumberFormat="1" applyFont="1" applyFill="1" applyBorder="1" applyAlignment="1">
      <alignment vertical="center" wrapText="1"/>
    </xf>
    <xf numFmtId="0" fontId="4" fillId="11" borderId="34" xfId="0" applyFont="1" applyFill="1" applyBorder="1" applyAlignment="1">
      <alignment vertical="center" wrapText="1"/>
    </xf>
    <xf numFmtId="0" fontId="14" fillId="11" borderId="34" xfId="0" applyFont="1" applyFill="1" applyBorder="1" applyAlignment="1">
      <alignment vertical="center" wrapText="1"/>
    </xf>
    <xf numFmtId="0" fontId="14" fillId="11" borderId="36" xfId="0" applyFont="1" applyFill="1" applyBorder="1" applyAlignment="1">
      <alignment vertical="center" wrapText="1"/>
    </xf>
    <xf numFmtId="49" fontId="24" fillId="11" borderId="36" xfId="1" applyNumberFormat="1" applyFont="1" applyFill="1" applyBorder="1" applyAlignment="1">
      <alignment wrapText="1"/>
    </xf>
    <xf numFmtId="4" fontId="37" fillId="11" borderId="0" xfId="0" applyNumberFormat="1" applyFont="1" applyFill="1"/>
    <xf numFmtId="0" fontId="4" fillId="11" borderId="36" xfId="0" applyFont="1" applyFill="1" applyBorder="1" applyAlignment="1">
      <alignment vertical="center" wrapText="1"/>
    </xf>
    <xf numFmtId="0" fontId="5" fillId="11" borderId="36" xfId="0" applyFont="1" applyFill="1" applyBorder="1" applyAlignment="1">
      <alignment vertical="center" wrapText="1"/>
    </xf>
    <xf numFmtId="4" fontId="4" fillId="11" borderId="34" xfId="0" applyNumberFormat="1" applyFont="1" applyFill="1" applyBorder="1" applyAlignment="1">
      <alignment vertical="center" wrapText="1"/>
    </xf>
    <xf numFmtId="49" fontId="24" fillId="7" borderId="36" xfId="1" applyNumberFormat="1" applyFont="1" applyFill="1" applyBorder="1" applyAlignment="1">
      <alignment wrapText="1"/>
    </xf>
    <xf numFmtId="4" fontId="24" fillId="7" borderId="36" xfId="0" applyNumberFormat="1" applyFont="1" applyFill="1" applyBorder="1" applyAlignment="1">
      <alignment vertical="center" wrapText="1"/>
    </xf>
    <xf numFmtId="1" fontId="16" fillId="9" borderId="6" xfId="0" applyNumberFormat="1" applyFont="1" applyFill="1" applyBorder="1" applyAlignment="1">
      <alignment vertical="center" wrapText="1"/>
    </xf>
    <xf numFmtId="2" fontId="16" fillId="9" borderId="6" xfId="0" applyNumberFormat="1" applyFont="1" applyFill="1" applyBorder="1" applyAlignment="1">
      <alignment vertical="center" wrapText="1"/>
    </xf>
    <xf numFmtId="49" fontId="15" fillId="0" borderId="36" xfId="1" applyNumberFormat="1" applyFont="1" applyBorder="1" applyAlignment="1">
      <alignment wrapText="1"/>
    </xf>
    <xf numFmtId="0" fontId="15" fillId="0" borderId="0" xfId="0" applyFont="1"/>
    <xf numFmtId="4" fontId="5" fillId="0" borderId="48" xfId="0" applyNumberFormat="1" applyFont="1" applyBorder="1" applyAlignment="1">
      <alignment vertical="center" wrapText="1"/>
    </xf>
    <xf numFmtId="10" fontId="15" fillId="0" borderId="48" xfId="0" applyNumberFormat="1" applyFont="1" applyBorder="1" applyAlignment="1">
      <alignment vertical="center" wrapText="1"/>
    </xf>
    <xf numFmtId="0" fontId="27" fillId="0" borderId="6" xfId="0" applyFont="1" applyBorder="1"/>
    <xf numFmtId="49" fontId="15" fillId="0" borderId="37" xfId="1" applyNumberFormat="1" applyFont="1" applyBorder="1" applyAlignment="1">
      <alignment wrapText="1"/>
    </xf>
    <xf numFmtId="0" fontId="15" fillId="0" borderId="37" xfId="0" applyFont="1" applyBorder="1" applyAlignment="1">
      <alignment vertical="center" wrapText="1"/>
    </xf>
    <xf numFmtId="0" fontId="16" fillId="0" borderId="37" xfId="0" applyFont="1" applyBorder="1" applyAlignment="1">
      <alignment vertical="center" wrapText="1"/>
    </xf>
    <xf numFmtId="0" fontId="15" fillId="0" borderId="51" xfId="0" applyFont="1" applyBorder="1" applyAlignment="1">
      <alignment vertical="center" wrapText="1"/>
    </xf>
    <xf numFmtId="10" fontId="16" fillId="13" borderId="53" xfId="0" applyNumberFormat="1" applyFont="1" applyFill="1" applyBorder="1" applyAlignment="1">
      <alignment vertical="center" wrapText="1"/>
    </xf>
    <xf numFmtId="0" fontId="38" fillId="0" borderId="0" xfId="0" applyFont="1"/>
    <xf numFmtId="0" fontId="2" fillId="0" borderId="0" xfId="0" applyFont="1" applyAlignment="1">
      <alignment horizontal="justify" vertical="center" wrapText="1"/>
    </xf>
    <xf numFmtId="0" fontId="40" fillId="0" borderId="39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3" fontId="40" fillId="5" borderId="14" xfId="0" applyNumberFormat="1" applyFont="1" applyFill="1" applyBorder="1" applyAlignment="1">
      <alignment horizontal="justify" vertical="center" wrapText="1"/>
    </xf>
    <xf numFmtId="0" fontId="40" fillId="5" borderId="14" xfId="0" applyFont="1" applyFill="1" applyBorder="1" applyAlignment="1">
      <alignment horizontal="right" vertical="center" wrapText="1" indent="1"/>
    </xf>
    <xf numFmtId="0" fontId="40" fillId="5" borderId="14" xfId="0" applyFont="1" applyFill="1" applyBorder="1" applyAlignment="1">
      <alignment horizontal="center" vertical="center" wrapText="1"/>
    </xf>
    <xf numFmtId="0" fontId="40" fillId="5" borderId="55" xfId="0" applyFont="1" applyFill="1" applyBorder="1" applyAlignment="1">
      <alignment horizontal="right" vertical="center" wrapText="1"/>
    </xf>
    <xf numFmtId="0" fontId="39" fillId="0" borderId="15" xfId="0" applyFont="1" applyBorder="1" applyAlignment="1">
      <alignment horizontal="justify" vertical="center" wrapText="1"/>
    </xf>
    <xf numFmtId="0" fontId="39" fillId="0" borderId="56" xfId="0" applyFont="1" applyBorder="1" applyAlignment="1">
      <alignment horizontal="center" vertical="center" wrapText="1"/>
    </xf>
    <xf numFmtId="0" fontId="41" fillId="0" borderId="14" xfId="0" applyFont="1" applyBorder="1" applyAlignment="1">
      <alignment horizontal="justify" vertical="center" wrapText="1"/>
    </xf>
    <xf numFmtId="0" fontId="39" fillId="0" borderId="14" xfId="0" applyFont="1" applyBorder="1" applyAlignment="1">
      <alignment horizontal="center" vertical="center" wrapText="1"/>
    </xf>
    <xf numFmtId="0" fontId="42" fillId="0" borderId="14" xfId="0" applyFont="1" applyBorder="1" applyAlignment="1">
      <alignment horizontal="right" vertical="center" wrapText="1" indent="1"/>
    </xf>
    <xf numFmtId="0" fontId="39" fillId="0" borderId="15" xfId="0" applyFont="1" applyBorder="1" applyAlignment="1">
      <alignment horizontal="right" vertical="center" indent="1"/>
    </xf>
    <xf numFmtId="0" fontId="39" fillId="0" borderId="15" xfId="0" applyFont="1" applyBorder="1" applyAlignment="1">
      <alignment horizontal="center" vertical="center"/>
    </xf>
    <xf numFmtId="0" fontId="41" fillId="0" borderId="17" xfId="0" applyFont="1" applyBorder="1" applyAlignment="1">
      <alignment horizontal="justify" vertical="center" wrapText="1"/>
    </xf>
    <xf numFmtId="0" fontId="39" fillId="0" borderId="17" xfId="0" applyFont="1" applyBorder="1" applyAlignment="1">
      <alignment horizontal="right" vertical="center" indent="1"/>
    </xf>
    <xf numFmtId="0" fontId="40" fillId="5" borderId="17" xfId="0" applyFont="1" applyFill="1" applyBorder="1" applyAlignment="1">
      <alignment horizontal="justify" vertical="center"/>
    </xf>
    <xf numFmtId="0" fontId="40" fillId="5" borderId="17" xfId="0" applyFont="1" applyFill="1" applyBorder="1" applyAlignment="1">
      <alignment horizontal="right" vertical="center"/>
    </xf>
    <xf numFmtId="0" fontId="40" fillId="5" borderId="17" xfId="0" applyFont="1" applyFill="1" applyBorder="1" applyAlignment="1">
      <alignment horizontal="right" vertical="center" indent="1"/>
    </xf>
    <xf numFmtId="0" fontId="39" fillId="16" borderId="18" xfId="0" applyFont="1" applyFill="1" applyBorder="1" applyAlignment="1">
      <alignment horizontal="justify" vertical="center"/>
    </xf>
    <xf numFmtId="0" fontId="40" fillId="16" borderId="19" xfId="0" applyFont="1" applyFill="1" applyBorder="1" applyAlignment="1">
      <alignment horizontal="justify" vertical="center" wrapText="1"/>
    </xf>
    <xf numFmtId="0" fontId="40" fillId="16" borderId="19" xfId="0" applyFont="1" applyFill="1" applyBorder="1" applyAlignment="1">
      <alignment horizontal="justify" vertical="center"/>
    </xf>
    <xf numFmtId="0" fontId="40" fillId="16" borderId="19" xfId="0" applyFont="1" applyFill="1" applyBorder="1" applyAlignment="1">
      <alignment horizontal="right" vertical="center"/>
    </xf>
    <xf numFmtId="0" fontId="43" fillId="0" borderId="0" xfId="2" applyAlignment="1">
      <alignment horizontal="justify" vertical="center"/>
    </xf>
    <xf numFmtId="0" fontId="39" fillId="0" borderId="62" xfId="0" applyFont="1" applyBorder="1" applyAlignment="1">
      <alignment horizontal="right" vertical="center" indent="1"/>
    </xf>
    <xf numFmtId="0" fontId="39" fillId="0" borderId="55" xfId="0" applyFont="1" applyBorder="1" applyAlignment="1">
      <alignment horizontal="right" vertical="center" wrapText="1" indent="1"/>
    </xf>
    <xf numFmtId="0" fontId="39" fillId="0" borderId="59" xfId="0" applyFont="1" applyBorder="1" applyAlignment="1">
      <alignment vertical="center" wrapText="1"/>
    </xf>
    <xf numFmtId="0" fontId="39" fillId="0" borderId="59" xfId="0" applyFont="1" applyBorder="1" applyAlignment="1">
      <alignment vertical="center"/>
    </xf>
    <xf numFmtId="0" fontId="40" fillId="5" borderId="63" xfId="0" applyFont="1" applyFill="1" applyBorder="1" applyAlignment="1">
      <alignment vertical="center"/>
    </xf>
    <xf numFmtId="0" fontId="39" fillId="0" borderId="65" xfId="0" applyFont="1" applyBorder="1" applyAlignment="1">
      <alignment vertical="center"/>
    </xf>
    <xf numFmtId="0" fontId="40" fillId="16" borderId="66" xfId="0" applyFont="1" applyFill="1" applyBorder="1" applyAlignment="1">
      <alignment vertical="center"/>
    </xf>
    <xf numFmtId="0" fontId="40" fillId="5" borderId="21" xfId="0" applyFont="1" applyFill="1" applyBorder="1" applyAlignment="1">
      <alignment vertical="center" wrapText="1"/>
    </xf>
    <xf numFmtId="0" fontId="39" fillId="0" borderId="57" xfId="0" applyFont="1" applyBorder="1" applyAlignment="1">
      <alignment vertical="center" wrapText="1"/>
    </xf>
    <xf numFmtId="2" fontId="40" fillId="5" borderId="14" xfId="0" applyNumberFormat="1" applyFont="1" applyFill="1" applyBorder="1" applyAlignment="1">
      <alignment horizontal="center" vertical="center" wrapText="1"/>
    </xf>
    <xf numFmtId="2" fontId="39" fillId="0" borderId="11" xfId="0" applyNumberFormat="1" applyFont="1" applyBorder="1" applyAlignment="1">
      <alignment horizontal="center" vertical="center" wrapText="1"/>
    </xf>
    <xf numFmtId="2" fontId="40" fillId="5" borderId="55" xfId="0" applyNumberFormat="1" applyFont="1" applyFill="1" applyBorder="1" applyAlignment="1">
      <alignment horizontal="right" vertical="center" wrapText="1"/>
    </xf>
    <xf numFmtId="2" fontId="40" fillId="0" borderId="14" xfId="0" applyNumberFormat="1" applyFont="1" applyBorder="1" applyAlignment="1">
      <alignment horizontal="center" vertical="center" wrapText="1"/>
    </xf>
    <xf numFmtId="2" fontId="39" fillId="0" borderId="56" xfId="0" applyNumberFormat="1" applyFont="1" applyBorder="1" applyAlignment="1">
      <alignment horizontal="center" vertical="center" wrapText="1"/>
    </xf>
    <xf numFmtId="2" fontId="39" fillId="0" borderId="14" xfId="0" applyNumberFormat="1" applyFont="1" applyBorder="1" applyAlignment="1">
      <alignment horizontal="center" vertical="center" wrapText="1"/>
    </xf>
    <xf numFmtId="2" fontId="42" fillId="0" borderId="14" xfId="0" applyNumberFormat="1" applyFont="1" applyBorder="1" applyAlignment="1">
      <alignment horizontal="right" vertical="center" wrapText="1" indent="1"/>
    </xf>
    <xf numFmtId="2" fontId="39" fillId="0" borderId="15" xfId="0" applyNumberFormat="1" applyFont="1" applyBorder="1" applyAlignment="1">
      <alignment horizontal="center" vertical="center"/>
    </xf>
    <xf numFmtId="2" fontId="39" fillId="0" borderId="15" xfId="0" applyNumberFormat="1" applyFont="1" applyBorder="1" applyAlignment="1">
      <alignment horizontal="right" vertical="center" indent="1"/>
    </xf>
    <xf numFmtId="2" fontId="39" fillId="0" borderId="17" xfId="0" applyNumberFormat="1" applyFont="1" applyBorder="1" applyAlignment="1">
      <alignment horizontal="right" vertical="center" indent="1"/>
    </xf>
    <xf numFmtId="2" fontId="40" fillId="5" borderId="17" xfId="0" applyNumberFormat="1" applyFont="1" applyFill="1" applyBorder="1" applyAlignment="1">
      <alignment horizontal="right" vertical="center" indent="1"/>
    </xf>
    <xf numFmtId="2" fontId="40" fillId="16" borderId="19" xfId="0" applyNumberFormat="1" applyFont="1" applyFill="1" applyBorder="1" applyAlignment="1">
      <alignment horizontal="right" vertical="center"/>
    </xf>
    <xf numFmtId="4" fontId="15" fillId="0" borderId="44" xfId="0" applyNumberFormat="1" applyFont="1" applyBorder="1" applyAlignment="1">
      <alignment vertical="center" wrapText="1"/>
    </xf>
    <xf numFmtId="4" fontId="15" fillId="0" borderId="45" xfId="0" applyNumberFormat="1" applyFont="1" applyBorder="1" applyAlignment="1">
      <alignment vertical="center" wrapText="1"/>
    </xf>
    <xf numFmtId="4" fontId="16" fillId="0" borderId="6" xfId="0" applyNumberFormat="1" applyFont="1" applyBorder="1" applyAlignment="1">
      <alignment vertical="center" wrapText="1"/>
    </xf>
    <xf numFmtId="4" fontId="5" fillId="0" borderId="44" xfId="0" applyNumberFormat="1" applyFont="1" applyBorder="1" applyAlignment="1">
      <alignment vertical="center" wrapText="1"/>
    </xf>
    <xf numFmtId="4" fontId="5" fillId="0" borderId="45" xfId="0" applyNumberFormat="1" applyFont="1" applyBorder="1" applyAlignment="1">
      <alignment vertical="center" wrapText="1"/>
    </xf>
    <xf numFmtId="4" fontId="5" fillId="0" borderId="6" xfId="0" applyNumberFormat="1" applyFont="1" applyBorder="1" applyAlignment="1">
      <alignment vertical="center" wrapText="1"/>
    </xf>
    <xf numFmtId="0" fontId="44" fillId="17" borderId="69" xfId="0" applyFont="1" applyFill="1" applyBorder="1" applyAlignment="1">
      <alignment vertical="center" wrapText="1"/>
    </xf>
    <xf numFmtId="0" fontId="44" fillId="17" borderId="70" xfId="0" applyFont="1" applyFill="1" applyBorder="1" applyAlignment="1">
      <alignment vertical="center" wrapText="1"/>
    </xf>
    <xf numFmtId="0" fontId="45" fillId="17" borderId="70" xfId="0" applyFont="1" applyFill="1" applyBorder="1" applyAlignment="1">
      <alignment vertical="center" wrapText="1"/>
    </xf>
    <xf numFmtId="0" fontId="44" fillId="17" borderId="71" xfId="0" applyFont="1" applyFill="1" applyBorder="1" applyAlignment="1">
      <alignment vertical="center" wrapText="1"/>
    </xf>
    <xf numFmtId="16" fontId="44" fillId="17" borderId="72" xfId="0" applyNumberFormat="1" applyFont="1" applyFill="1" applyBorder="1" applyAlignment="1">
      <alignment vertical="center" wrapText="1"/>
    </xf>
    <xf numFmtId="0" fontId="44" fillId="17" borderId="72" xfId="0" applyFont="1" applyFill="1" applyBorder="1" applyAlignment="1">
      <alignment vertical="center" wrapText="1"/>
    </xf>
    <xf numFmtId="0" fontId="45" fillId="17" borderId="72" xfId="0" applyFont="1" applyFill="1" applyBorder="1" applyAlignment="1">
      <alignment vertical="center" wrapText="1"/>
    </xf>
    <xf numFmtId="0" fontId="46" fillId="18" borderId="71" xfId="0" applyFont="1" applyFill="1" applyBorder="1" applyAlignment="1">
      <alignment vertical="center" wrapText="1"/>
    </xf>
    <xf numFmtId="0" fontId="46" fillId="18" borderId="72" xfId="0" applyFont="1" applyFill="1" applyBorder="1" applyAlignment="1">
      <alignment vertical="center" wrapText="1"/>
    </xf>
    <xf numFmtId="4" fontId="47" fillId="18" borderId="72" xfId="0" applyNumberFormat="1" applyFont="1" applyFill="1" applyBorder="1" applyAlignment="1">
      <alignment horizontal="right" vertical="center"/>
    </xf>
    <xf numFmtId="4" fontId="46" fillId="18" borderId="72" xfId="0" applyNumberFormat="1" applyFont="1" applyFill="1" applyBorder="1" applyAlignment="1">
      <alignment horizontal="right" vertical="center"/>
    </xf>
    <xf numFmtId="0" fontId="46" fillId="18" borderId="72" xfId="0" applyFont="1" applyFill="1" applyBorder="1" applyAlignment="1">
      <alignment horizontal="right" vertical="center"/>
    </xf>
    <xf numFmtId="4" fontId="45" fillId="18" borderId="72" xfId="0" applyNumberFormat="1" applyFont="1" applyFill="1" applyBorder="1" applyAlignment="1">
      <alignment horizontal="right" vertical="center"/>
    </xf>
    <xf numFmtId="4" fontId="44" fillId="18" borderId="72" xfId="0" applyNumberFormat="1" applyFont="1" applyFill="1" applyBorder="1" applyAlignment="1">
      <alignment horizontal="right" vertical="center"/>
    </xf>
    <xf numFmtId="0" fontId="45" fillId="18" borderId="72" xfId="0" applyFont="1" applyFill="1" applyBorder="1" applyAlignment="1">
      <alignment horizontal="right" vertical="center"/>
    </xf>
    <xf numFmtId="0" fontId="44" fillId="18" borderId="72" xfId="0" applyFont="1" applyFill="1" applyBorder="1" applyAlignment="1">
      <alignment horizontal="right" vertical="center"/>
    </xf>
    <xf numFmtId="0" fontId="46" fillId="16" borderId="71" xfId="0" applyFont="1" applyFill="1" applyBorder="1" applyAlignment="1">
      <alignment vertical="center" wrapText="1"/>
    </xf>
    <xf numFmtId="0" fontId="46" fillId="16" borderId="72" xfId="0" applyFont="1" applyFill="1" applyBorder="1" applyAlignment="1">
      <alignment vertical="center" wrapText="1"/>
    </xf>
    <xf numFmtId="4" fontId="47" fillId="16" borderId="72" xfId="0" applyNumberFormat="1" applyFont="1" applyFill="1" applyBorder="1" applyAlignment="1">
      <alignment horizontal="right" vertical="center"/>
    </xf>
    <xf numFmtId="4" fontId="46" fillId="16" borderId="72" xfId="0" applyNumberFormat="1" applyFont="1" applyFill="1" applyBorder="1" applyAlignment="1">
      <alignment horizontal="right" vertical="center"/>
    </xf>
    <xf numFmtId="0" fontId="46" fillId="16" borderId="72" xfId="0" applyFont="1" applyFill="1" applyBorder="1" applyAlignment="1">
      <alignment horizontal="right" vertical="center"/>
    </xf>
    <xf numFmtId="0" fontId="46" fillId="19" borderId="71" xfId="0" applyFont="1" applyFill="1" applyBorder="1" applyAlignment="1">
      <alignment vertical="center" wrapText="1"/>
    </xf>
    <xf numFmtId="0" fontId="46" fillId="19" borderId="72" xfId="0" applyFont="1" applyFill="1" applyBorder="1" applyAlignment="1">
      <alignment vertical="center" wrapText="1"/>
    </xf>
    <xf numFmtId="4" fontId="45" fillId="19" borderId="72" xfId="0" applyNumberFormat="1" applyFont="1" applyFill="1" applyBorder="1" applyAlignment="1">
      <alignment horizontal="right" vertical="center"/>
    </xf>
    <xf numFmtId="4" fontId="44" fillId="19" borderId="72" xfId="0" applyNumberFormat="1" applyFont="1" applyFill="1" applyBorder="1" applyAlignment="1">
      <alignment horizontal="right" vertical="center"/>
    </xf>
    <xf numFmtId="0" fontId="44" fillId="19" borderId="72" xfId="0" applyFont="1" applyFill="1" applyBorder="1" applyAlignment="1">
      <alignment horizontal="right" vertical="center"/>
    </xf>
    <xf numFmtId="0" fontId="46" fillId="19" borderId="72" xfId="0" applyFont="1" applyFill="1" applyBorder="1" applyAlignment="1">
      <alignment horizontal="right" vertical="center"/>
    </xf>
    <xf numFmtId="0" fontId="45" fillId="19" borderId="72" xfId="0" applyFont="1" applyFill="1" applyBorder="1" applyAlignment="1">
      <alignment horizontal="right" vertical="center"/>
    </xf>
    <xf numFmtId="0" fontId="46" fillId="20" borderId="74" xfId="0" applyFont="1" applyFill="1" applyBorder="1" applyAlignment="1">
      <alignment vertical="center" wrapText="1"/>
    </xf>
    <xf numFmtId="0" fontId="46" fillId="20" borderId="72" xfId="0" applyFont="1" applyFill="1" applyBorder="1" applyAlignment="1">
      <alignment vertical="center" wrapText="1"/>
    </xf>
    <xf numFmtId="0" fontId="46" fillId="20" borderId="71" xfId="0" applyFont="1" applyFill="1" applyBorder="1" applyAlignment="1">
      <alignment vertical="center" wrapText="1"/>
    </xf>
    <xf numFmtId="4" fontId="47" fillId="20" borderId="72" xfId="0" applyNumberFormat="1" applyFont="1" applyFill="1" applyBorder="1" applyAlignment="1">
      <alignment horizontal="right" vertical="center"/>
    </xf>
    <xf numFmtId="4" fontId="46" fillId="20" borderId="72" xfId="0" applyNumberFormat="1" applyFont="1" applyFill="1" applyBorder="1" applyAlignment="1">
      <alignment horizontal="right" vertical="center"/>
    </xf>
    <xf numFmtId="0" fontId="46" fillId="20" borderId="72" xfId="0" applyFont="1" applyFill="1" applyBorder="1" applyAlignment="1">
      <alignment horizontal="right" vertical="center"/>
    </xf>
    <xf numFmtId="4" fontId="45" fillId="20" borderId="72" xfId="0" applyNumberFormat="1" applyFont="1" applyFill="1" applyBorder="1" applyAlignment="1">
      <alignment horizontal="right" vertical="center"/>
    </xf>
    <xf numFmtId="4" fontId="44" fillId="20" borderId="72" xfId="0" applyNumberFormat="1" applyFont="1" applyFill="1" applyBorder="1" applyAlignment="1">
      <alignment horizontal="right" vertical="center"/>
    </xf>
    <xf numFmtId="0" fontId="45" fillId="20" borderId="72" xfId="0" applyFont="1" applyFill="1" applyBorder="1" applyAlignment="1">
      <alignment horizontal="right" vertical="center"/>
    </xf>
    <xf numFmtId="0" fontId="44" fillId="20" borderId="72" xfId="0" applyFont="1" applyFill="1" applyBorder="1" applyAlignment="1">
      <alignment horizontal="right" vertical="center"/>
    </xf>
    <xf numFmtId="0" fontId="46" fillId="4" borderId="71" xfId="0" applyFont="1" applyFill="1" applyBorder="1" applyAlignment="1">
      <alignment vertical="center" wrapText="1"/>
    </xf>
    <xf numFmtId="0" fontId="46" fillId="4" borderId="72" xfId="0" applyFont="1" applyFill="1" applyBorder="1" applyAlignment="1">
      <alignment vertical="center" wrapText="1"/>
    </xf>
    <xf numFmtId="4" fontId="47" fillId="4" borderId="72" xfId="0" applyNumberFormat="1" applyFont="1" applyFill="1" applyBorder="1" applyAlignment="1">
      <alignment horizontal="right" vertical="center"/>
    </xf>
    <xf numFmtId="4" fontId="46" fillId="4" borderId="72" xfId="0" applyNumberFormat="1" applyFont="1" applyFill="1" applyBorder="1" applyAlignment="1">
      <alignment horizontal="right" vertical="center"/>
    </xf>
    <xf numFmtId="0" fontId="47" fillId="4" borderId="72" xfId="0" applyFont="1" applyFill="1" applyBorder="1" applyAlignment="1">
      <alignment horizontal="right" vertical="center"/>
    </xf>
    <xf numFmtId="0" fontId="46" fillId="4" borderId="72" xfId="0" applyFont="1" applyFill="1" applyBorder="1" applyAlignment="1">
      <alignment horizontal="right" vertical="center"/>
    </xf>
    <xf numFmtId="4" fontId="45" fillId="4" borderId="72" xfId="0" applyNumberFormat="1" applyFont="1" applyFill="1" applyBorder="1" applyAlignment="1">
      <alignment horizontal="right" vertical="center"/>
    </xf>
    <xf numFmtId="4" fontId="44" fillId="4" borderId="72" xfId="0" applyNumberFormat="1" applyFont="1" applyFill="1" applyBorder="1" applyAlignment="1">
      <alignment horizontal="right" vertical="center"/>
    </xf>
    <xf numFmtId="0" fontId="45" fillId="4" borderId="72" xfId="0" applyFont="1" applyFill="1" applyBorder="1" applyAlignment="1">
      <alignment horizontal="right" vertical="center"/>
    </xf>
    <xf numFmtId="14" fontId="44" fillId="17" borderId="72" xfId="0" applyNumberFormat="1" applyFont="1" applyFill="1" applyBorder="1" applyAlignment="1">
      <alignment vertical="center" wrapText="1"/>
    </xf>
    <xf numFmtId="0" fontId="46" fillId="21" borderId="75" xfId="0" applyFont="1" applyFill="1" applyBorder="1" applyAlignment="1">
      <alignment vertical="center" wrapText="1"/>
    </xf>
    <xf numFmtId="0" fontId="46" fillId="21" borderId="74" xfId="0" applyFont="1" applyFill="1" applyBorder="1" applyAlignment="1">
      <alignment vertical="center" wrapText="1"/>
    </xf>
    <xf numFmtId="4" fontId="47" fillId="21" borderId="74" xfId="0" applyNumberFormat="1" applyFont="1" applyFill="1" applyBorder="1" applyAlignment="1">
      <alignment horizontal="right" vertical="center"/>
    </xf>
    <xf numFmtId="4" fontId="46" fillId="21" borderId="74" xfId="0" applyNumberFormat="1" applyFont="1" applyFill="1" applyBorder="1" applyAlignment="1">
      <alignment horizontal="right" vertical="center"/>
    </xf>
    <xf numFmtId="0" fontId="47" fillId="21" borderId="74" xfId="0" applyFont="1" applyFill="1" applyBorder="1" applyAlignment="1">
      <alignment horizontal="right" vertical="center"/>
    </xf>
    <xf numFmtId="0" fontId="46" fillId="21" borderId="74" xfId="0" applyFont="1" applyFill="1" applyBorder="1" applyAlignment="1">
      <alignment horizontal="right" vertical="center"/>
    </xf>
    <xf numFmtId="0" fontId="46" fillId="21" borderId="1" xfId="0" applyFont="1" applyFill="1" applyBorder="1" applyAlignment="1">
      <alignment vertical="center" wrapText="1"/>
    </xf>
    <xf numFmtId="0" fontId="46" fillId="21" borderId="4" xfId="0" applyFont="1" applyFill="1" applyBorder="1" applyAlignment="1">
      <alignment vertical="center" wrapText="1"/>
    </xf>
    <xf numFmtId="4" fontId="45" fillId="21" borderId="4" xfId="0" applyNumberFormat="1" applyFont="1" applyFill="1" applyBorder="1" applyAlignment="1">
      <alignment horizontal="right" vertical="center"/>
    </xf>
    <xf numFmtId="4" fontId="44" fillId="21" borderId="4" xfId="0" applyNumberFormat="1" applyFont="1" applyFill="1" applyBorder="1" applyAlignment="1">
      <alignment horizontal="right" vertical="center"/>
    </xf>
    <xf numFmtId="0" fontId="45" fillId="21" borderId="4" xfId="0" applyFont="1" applyFill="1" applyBorder="1" applyAlignment="1">
      <alignment horizontal="right" vertical="center"/>
    </xf>
    <xf numFmtId="0" fontId="44" fillId="21" borderId="4" xfId="0" applyFont="1" applyFill="1" applyBorder="1" applyAlignment="1">
      <alignment horizontal="right" vertical="center"/>
    </xf>
    <xf numFmtId="0" fontId="46" fillId="21" borderId="4" xfId="0" applyFont="1" applyFill="1" applyBorder="1" applyAlignment="1">
      <alignment horizontal="right" vertical="center"/>
    </xf>
    <xf numFmtId="0" fontId="48" fillId="0" borderId="0" xfId="0" applyFont="1"/>
    <xf numFmtId="4" fontId="45" fillId="22" borderId="3" xfId="0" applyNumberFormat="1" applyFont="1" applyFill="1" applyBorder="1" applyAlignment="1">
      <alignment horizontal="right" vertical="center"/>
    </xf>
    <xf numFmtId="4" fontId="45" fillId="22" borderId="6" xfId="0" applyNumberFormat="1" applyFont="1" applyFill="1" applyBorder="1" applyAlignment="1">
      <alignment horizontal="right" vertical="center"/>
    </xf>
    <xf numFmtId="0" fontId="47" fillId="22" borderId="6" xfId="0" applyFont="1" applyFill="1" applyBorder="1" applyAlignment="1">
      <alignment vertical="center"/>
    </xf>
    <xf numFmtId="10" fontId="4" fillId="0" borderId="6" xfId="0" applyNumberFormat="1" applyFont="1" applyBorder="1" applyAlignment="1">
      <alignment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vertical="center" wrapText="1"/>
    </xf>
    <xf numFmtId="2" fontId="4" fillId="23" borderId="6" xfId="0" applyNumberFormat="1" applyFont="1" applyFill="1" applyBorder="1" applyAlignment="1">
      <alignment vertical="center" wrapText="1"/>
    </xf>
    <xf numFmtId="0" fontId="4" fillId="23" borderId="6" xfId="0" applyFont="1" applyFill="1" applyBorder="1" applyAlignment="1">
      <alignment vertical="center" wrapText="1"/>
    </xf>
    <xf numFmtId="0" fontId="5" fillId="12" borderId="6" xfId="0" applyFont="1" applyFill="1" applyBorder="1" applyAlignment="1">
      <alignment vertical="center" wrapText="1"/>
    </xf>
    <xf numFmtId="0" fontId="4" fillId="12" borderId="6" xfId="0" applyFont="1" applyFill="1" applyBorder="1" applyAlignment="1">
      <alignment vertical="center" wrapText="1"/>
    </xf>
    <xf numFmtId="0" fontId="49" fillId="0" borderId="3" xfId="0" applyFont="1" applyBorder="1" applyAlignment="1">
      <alignment vertical="center" wrapText="1"/>
    </xf>
    <xf numFmtId="0" fontId="15" fillId="0" borderId="6" xfId="0" applyFont="1" applyBorder="1" applyAlignment="1">
      <alignment horizontal="center" vertical="center" wrapText="1"/>
    </xf>
    <xf numFmtId="0" fontId="27" fillId="0" borderId="8" xfId="0" applyFont="1" applyBorder="1"/>
    <xf numFmtId="4" fontId="4" fillId="0" borderId="36" xfId="0" applyNumberFormat="1" applyFont="1" applyBorder="1" applyAlignment="1">
      <alignment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26" xfId="0" applyFont="1" applyBorder="1" applyAlignment="1">
      <alignment vertical="center" wrapText="1"/>
    </xf>
    <xf numFmtId="0" fontId="15" fillId="0" borderId="38" xfId="0" applyFont="1" applyBorder="1" applyAlignment="1">
      <alignment vertical="center" wrapText="1"/>
    </xf>
    <xf numFmtId="0" fontId="16" fillId="9" borderId="53" xfId="0" applyFont="1" applyFill="1" applyBorder="1" applyAlignment="1">
      <alignment vertical="center" wrapText="1"/>
    </xf>
    <xf numFmtId="2" fontId="16" fillId="9" borderId="53" xfId="0" applyNumberFormat="1" applyFont="1" applyFill="1" applyBorder="1" applyAlignment="1">
      <alignment vertical="center" wrapText="1"/>
    </xf>
    <xf numFmtId="1" fontId="15" fillId="0" borderId="50" xfId="0" applyNumberFormat="1" applyFont="1" applyBorder="1" applyAlignment="1">
      <alignment vertical="center" wrapText="1"/>
    </xf>
    <xf numFmtId="1" fontId="15" fillId="0" borderId="44" xfId="0" applyNumberFormat="1" applyFont="1" applyBorder="1" applyAlignment="1">
      <alignment vertical="center" wrapText="1"/>
    </xf>
    <xf numFmtId="1" fontId="15" fillId="0" borderId="46" xfId="0" applyNumberFormat="1" applyFont="1" applyBorder="1" applyAlignment="1">
      <alignment vertical="center" wrapText="1"/>
    </xf>
    <xf numFmtId="4" fontId="15" fillId="0" borderId="36" xfId="0" applyNumberFormat="1" applyFont="1" applyBorder="1" applyAlignment="1">
      <alignment vertical="center" wrapText="1"/>
    </xf>
    <xf numFmtId="10" fontId="15" fillId="0" borderId="38" xfId="0" applyNumberFormat="1" applyFont="1" applyBorder="1" applyAlignment="1">
      <alignment vertical="center" wrapText="1"/>
    </xf>
    <xf numFmtId="4" fontId="15" fillId="0" borderId="38" xfId="0" applyNumberFormat="1" applyFont="1" applyBorder="1" applyAlignment="1">
      <alignment vertical="center" wrapText="1"/>
    </xf>
    <xf numFmtId="10" fontId="15" fillId="0" borderId="37" xfId="0" applyNumberFormat="1" applyFont="1" applyBorder="1" applyAlignment="1">
      <alignment vertical="center" wrapText="1"/>
    </xf>
    <xf numFmtId="0" fontId="16" fillId="12" borderId="36" xfId="0" applyFont="1" applyFill="1" applyBorder="1" applyAlignment="1">
      <alignment vertical="center" wrapText="1"/>
    </xf>
    <xf numFmtId="2" fontId="16" fillId="12" borderId="36" xfId="0" applyNumberFormat="1" applyFont="1" applyFill="1" applyBorder="1" applyAlignment="1">
      <alignment vertical="center" wrapText="1"/>
    </xf>
    <xf numFmtId="9" fontId="16" fillId="12" borderId="36" xfId="0" applyNumberFormat="1" applyFont="1" applyFill="1" applyBorder="1" applyAlignment="1">
      <alignment vertical="center" wrapText="1"/>
    </xf>
    <xf numFmtId="0" fontId="15" fillId="0" borderId="36" xfId="0" applyFont="1" applyBorder="1"/>
    <xf numFmtId="2" fontId="15" fillId="0" borderId="36" xfId="0" applyNumberFormat="1" applyFont="1" applyBorder="1" applyAlignment="1">
      <alignment vertical="center" wrapText="1"/>
    </xf>
    <xf numFmtId="9" fontId="15" fillId="0" borderId="36" xfId="0" applyNumberFormat="1" applyFont="1" applyBorder="1" applyAlignment="1">
      <alignment vertical="center" wrapText="1"/>
    </xf>
    <xf numFmtId="0" fontId="15" fillId="0" borderId="36" xfId="0" applyFont="1" applyBorder="1" applyAlignment="1">
      <alignment horizontal="center" vertical="center" wrapText="1"/>
    </xf>
    <xf numFmtId="16" fontId="5" fillId="0" borderId="36" xfId="0" applyNumberFormat="1" applyFont="1" applyBorder="1" applyAlignment="1">
      <alignment vertical="center" wrapText="1"/>
    </xf>
    <xf numFmtId="4" fontId="16" fillId="12" borderId="36" xfId="0" applyNumberFormat="1" applyFont="1" applyFill="1" applyBorder="1" applyAlignment="1">
      <alignment vertical="center" wrapText="1"/>
    </xf>
    <xf numFmtId="4" fontId="16" fillId="3" borderId="6" xfId="0" applyNumberFormat="1" applyFont="1" applyFill="1" applyBorder="1" applyAlignment="1">
      <alignment vertical="center" wrapText="1"/>
    </xf>
    <xf numFmtId="0" fontId="5" fillId="0" borderId="36" xfId="0" applyFont="1" applyBorder="1" applyAlignment="1">
      <alignment horizontal="left" vertical="center" wrapText="1"/>
    </xf>
    <xf numFmtId="4" fontId="5" fillId="0" borderId="36" xfId="0" applyNumberFormat="1" applyFont="1" applyBorder="1" applyAlignment="1">
      <alignment horizontal="center" vertical="center" wrapText="1"/>
    </xf>
    <xf numFmtId="10" fontId="16" fillId="12" borderId="36" xfId="0" applyNumberFormat="1" applyFont="1" applyFill="1" applyBorder="1" applyAlignment="1">
      <alignment vertical="center" wrapText="1"/>
    </xf>
    <xf numFmtId="4" fontId="4" fillId="0" borderId="6" xfId="0" applyNumberFormat="1" applyFont="1" applyBorder="1" applyAlignment="1">
      <alignment vertical="center" wrapText="1"/>
    </xf>
    <xf numFmtId="0" fontId="15" fillId="14" borderId="45" xfId="0" applyFont="1" applyFill="1" applyBorder="1" applyAlignment="1">
      <alignment vertical="center" wrapText="1"/>
    </xf>
    <xf numFmtId="4" fontId="38" fillId="0" borderId="0" xfId="0" applyNumberFormat="1" applyFont="1"/>
    <xf numFmtId="164" fontId="16" fillId="0" borderId="6" xfId="0" applyNumberFormat="1" applyFont="1" applyBorder="1" applyAlignment="1">
      <alignment vertical="center" wrapText="1"/>
    </xf>
    <xf numFmtId="2" fontId="15" fillId="0" borderId="6" xfId="0" applyNumberFormat="1" applyFont="1" applyBorder="1" applyAlignment="1">
      <alignment horizontal="center" vertical="center" wrapText="1"/>
    </xf>
    <xf numFmtId="0" fontId="16" fillId="24" borderId="33" xfId="0" applyFont="1" applyFill="1" applyBorder="1" applyAlignment="1">
      <alignment vertical="center" wrapText="1"/>
    </xf>
    <xf numFmtId="0" fontId="16" fillId="24" borderId="36" xfId="0" applyFont="1" applyFill="1" applyBorder="1" applyAlignment="1">
      <alignment horizontal="left" vertical="center" wrapText="1"/>
    </xf>
    <xf numFmtId="0" fontId="16" fillId="24" borderId="36" xfId="0" applyFont="1" applyFill="1" applyBorder="1" applyAlignment="1">
      <alignment horizontal="right" vertical="center" wrapText="1"/>
    </xf>
    <xf numFmtId="0" fontId="16" fillId="24" borderId="35" xfId="0" applyFont="1" applyFill="1" applyBorder="1" applyAlignment="1">
      <alignment horizontal="right" vertical="center" wrapText="1"/>
    </xf>
    <xf numFmtId="0" fontId="14" fillId="0" borderId="0" xfId="0" applyFont="1"/>
    <xf numFmtId="4" fontId="4" fillId="9" borderId="6" xfId="0" applyNumberFormat="1" applyFont="1" applyFill="1" applyBorder="1" applyAlignment="1">
      <alignment vertical="center" wrapText="1"/>
    </xf>
    <xf numFmtId="2" fontId="4" fillId="9" borderId="6" xfId="0" applyNumberFormat="1" applyFont="1" applyFill="1" applyBorder="1" applyAlignment="1">
      <alignment vertical="center" wrapText="1"/>
    </xf>
    <xf numFmtId="0" fontId="50" fillId="3" borderId="5" xfId="0" applyFont="1" applyFill="1" applyBorder="1" applyAlignment="1">
      <alignment horizontal="center" vertical="center" wrapText="1"/>
    </xf>
    <xf numFmtId="0" fontId="51" fillId="3" borderId="6" xfId="0" applyFont="1" applyFill="1" applyBorder="1" applyAlignment="1">
      <alignment horizontal="center" vertical="center" wrapText="1"/>
    </xf>
    <xf numFmtId="0" fontId="52" fillId="0" borderId="3" xfId="0" applyFont="1" applyBorder="1" applyAlignment="1">
      <alignment horizontal="center" vertical="center" wrapText="1"/>
    </xf>
    <xf numFmtId="0" fontId="52" fillId="0" borderId="6" xfId="0" applyFont="1" applyBorder="1" applyAlignment="1">
      <alignment horizontal="center" vertical="center" wrapText="1"/>
    </xf>
    <xf numFmtId="0" fontId="52" fillId="0" borderId="3" xfId="0" applyFont="1" applyBorder="1" applyAlignment="1">
      <alignment vertical="center" wrapText="1"/>
    </xf>
    <xf numFmtId="4" fontId="52" fillId="0" borderId="6" xfId="0" applyNumberFormat="1" applyFont="1" applyBorder="1" applyAlignment="1">
      <alignment vertical="center" wrapText="1"/>
    </xf>
    <xf numFmtId="2" fontId="52" fillId="0" borderId="6" xfId="0" applyNumberFormat="1" applyFont="1" applyBorder="1" applyAlignment="1">
      <alignment vertical="center" wrapText="1"/>
    </xf>
    <xf numFmtId="1" fontId="52" fillId="0" borderId="6" xfId="0" applyNumberFormat="1" applyFont="1" applyBorder="1" applyAlignment="1">
      <alignment vertical="center" wrapText="1"/>
    </xf>
    <xf numFmtId="0" fontId="52" fillId="0" borderId="6" xfId="0" applyFont="1" applyBorder="1" applyAlignment="1">
      <alignment vertical="center" wrapText="1"/>
    </xf>
    <xf numFmtId="0" fontId="50" fillId="3" borderId="3" xfId="0" applyFont="1" applyFill="1" applyBorder="1" applyAlignment="1">
      <alignment vertical="center" wrapText="1"/>
    </xf>
    <xf numFmtId="4" fontId="50" fillId="3" borderId="6" xfId="0" applyNumberFormat="1" applyFont="1" applyFill="1" applyBorder="1" applyAlignment="1">
      <alignment vertical="center" wrapText="1"/>
    </xf>
    <xf numFmtId="0" fontId="53" fillId="0" borderId="0" xfId="0" applyFont="1"/>
    <xf numFmtId="0" fontId="54" fillId="0" borderId="0" xfId="0" applyFont="1"/>
    <xf numFmtId="0" fontId="4" fillId="3" borderId="2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vertical="center" wrapText="1"/>
    </xf>
    <xf numFmtId="3" fontId="5" fillId="0" borderId="6" xfId="0" applyNumberFormat="1" applyFont="1" applyBorder="1" applyAlignment="1">
      <alignment vertical="center" wrapText="1"/>
    </xf>
    <xf numFmtId="3" fontId="4" fillId="3" borderId="6" xfId="0" applyNumberFormat="1" applyFont="1" applyFill="1" applyBorder="1" applyAlignment="1">
      <alignment vertical="center" wrapText="1"/>
    </xf>
    <xf numFmtId="3" fontId="15" fillId="0" borderId="6" xfId="0" applyNumberFormat="1" applyFont="1" applyBorder="1" applyAlignment="1">
      <alignment vertical="center" wrapText="1"/>
    </xf>
    <xf numFmtId="0" fontId="5" fillId="0" borderId="78" xfId="0" applyFont="1" applyBorder="1" applyAlignment="1">
      <alignment vertical="center" wrapText="1"/>
    </xf>
    <xf numFmtId="0" fontId="5" fillId="0" borderId="79" xfId="0" applyFont="1" applyBorder="1" applyAlignment="1">
      <alignment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3" borderId="0" xfId="0" applyFont="1" applyFill="1" applyAlignment="1">
      <alignment vertical="center" wrapText="1"/>
    </xf>
    <xf numFmtId="0" fontId="16" fillId="13" borderId="34" xfId="0" applyFont="1" applyFill="1" applyBorder="1" applyAlignment="1">
      <alignment vertical="center" wrapText="1"/>
    </xf>
    <xf numFmtId="0" fontId="5" fillId="13" borderId="34" xfId="0" applyFont="1" applyFill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4" fontId="5" fillId="0" borderId="3" xfId="0" applyNumberFormat="1" applyFont="1" applyBorder="1" applyAlignment="1">
      <alignment vertical="center" wrapText="1"/>
    </xf>
    <xf numFmtId="4" fontId="4" fillId="3" borderId="3" xfId="0" applyNumberFormat="1" applyFont="1" applyFill="1" applyBorder="1" applyAlignment="1">
      <alignment vertical="center" wrapText="1"/>
    </xf>
    <xf numFmtId="4" fontId="15" fillId="0" borderId="80" xfId="0" applyNumberFormat="1" applyFont="1" applyBorder="1" applyAlignment="1">
      <alignment vertical="center" wrapText="1"/>
    </xf>
    <xf numFmtId="4" fontId="5" fillId="0" borderId="80" xfId="0" applyNumberFormat="1" applyFont="1" applyBorder="1" applyAlignment="1">
      <alignment vertical="center" wrapText="1"/>
    </xf>
    <xf numFmtId="0" fontId="18" fillId="3" borderId="3" xfId="0" applyFont="1" applyFill="1" applyBorder="1" applyAlignment="1">
      <alignment horizontal="center" vertical="center" wrapText="1"/>
    </xf>
    <xf numFmtId="4" fontId="16" fillId="0" borderId="80" xfId="0" applyNumberFormat="1" applyFont="1" applyBorder="1" applyAlignment="1">
      <alignment vertical="center" wrapText="1"/>
    </xf>
    <xf numFmtId="4" fontId="4" fillId="0" borderId="80" xfId="0" applyNumberFormat="1" applyFont="1" applyBorder="1" applyAlignment="1">
      <alignment vertical="center" wrapText="1"/>
    </xf>
    <xf numFmtId="2" fontId="0" fillId="0" borderId="0" xfId="0" applyNumberFormat="1"/>
    <xf numFmtId="4" fontId="0" fillId="0" borderId="0" xfId="0" applyNumberFormat="1"/>
    <xf numFmtId="4" fontId="58" fillId="0" borderId="6" xfId="0" applyNumberFormat="1" applyFont="1" applyBorder="1" applyAlignment="1">
      <alignment vertical="center" wrapText="1"/>
    </xf>
    <xf numFmtId="2" fontId="34" fillId="0" borderId="0" xfId="0" applyNumberFormat="1" applyFont="1"/>
    <xf numFmtId="0" fontId="16" fillId="12" borderId="6" xfId="0" applyFont="1" applyFill="1" applyBorder="1" applyAlignment="1">
      <alignment vertical="center" wrapText="1"/>
    </xf>
    <xf numFmtId="0" fontId="4" fillId="3" borderId="36" xfId="0" applyFont="1" applyFill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5" fillId="9" borderId="6" xfId="0" applyFont="1" applyFill="1" applyBorder="1" applyAlignment="1">
      <alignment vertical="center" wrapText="1"/>
    </xf>
    <xf numFmtId="0" fontId="4" fillId="9" borderId="6" xfId="0" applyFont="1" applyFill="1" applyBorder="1" applyAlignment="1">
      <alignment vertical="center" wrapText="1"/>
    </xf>
    <xf numFmtId="0" fontId="16" fillId="9" borderId="6" xfId="0" applyFont="1" applyFill="1" applyBorder="1" applyAlignment="1">
      <alignment vertical="center" wrapText="1"/>
    </xf>
    <xf numFmtId="4" fontId="15" fillId="9" borderId="80" xfId="0" applyNumberFormat="1" applyFont="1" applyFill="1" applyBorder="1" applyAlignment="1">
      <alignment vertical="center" wrapText="1"/>
    </xf>
    <xf numFmtId="0" fontId="4" fillId="0" borderId="3" xfId="0" applyFont="1" applyBorder="1" applyAlignment="1">
      <alignment horizontal="justify" vertical="center" wrapText="1"/>
    </xf>
    <xf numFmtId="0" fontId="20" fillId="0" borderId="0" xfId="0" applyFont="1"/>
    <xf numFmtId="0" fontId="38" fillId="0" borderId="49" xfId="0" applyFont="1" applyBorder="1"/>
    <xf numFmtId="1" fontId="38" fillId="0" borderId="49" xfId="0" applyNumberFormat="1" applyFont="1" applyBorder="1"/>
    <xf numFmtId="0" fontId="4" fillId="24" borderId="3" xfId="0" applyFont="1" applyFill="1" applyBorder="1" applyAlignment="1">
      <alignment vertical="center" wrapText="1"/>
    </xf>
    <xf numFmtId="0" fontId="4" fillId="24" borderId="6" xfId="0" applyFont="1" applyFill="1" applyBorder="1" applyAlignment="1">
      <alignment vertical="center" wrapText="1"/>
    </xf>
    <xf numFmtId="0" fontId="34" fillId="24" borderId="6" xfId="0" applyFont="1" applyFill="1" applyBorder="1" applyAlignment="1">
      <alignment vertical="center" wrapText="1"/>
    </xf>
    <xf numFmtId="10" fontId="34" fillId="24" borderId="6" xfId="0" applyNumberFormat="1" applyFont="1" applyFill="1" applyBorder="1" applyAlignment="1">
      <alignment vertical="center" wrapText="1"/>
    </xf>
    <xf numFmtId="1" fontId="4" fillId="24" borderId="6" xfId="0" applyNumberFormat="1" applyFont="1" applyFill="1" applyBorder="1" applyAlignment="1">
      <alignment vertical="center" wrapText="1"/>
    </xf>
    <xf numFmtId="49" fontId="14" fillId="0" borderId="36" xfId="1" applyNumberFormat="1" applyFont="1" applyBorder="1" applyAlignment="1">
      <alignment wrapText="1"/>
    </xf>
    <xf numFmtId="10" fontId="14" fillId="0" borderId="36" xfId="0" applyNumberFormat="1" applyFont="1" applyBorder="1" applyAlignment="1">
      <alignment vertical="center" wrapText="1"/>
    </xf>
    <xf numFmtId="0" fontId="14" fillId="0" borderId="45" xfId="0" applyFont="1" applyBorder="1" applyAlignment="1">
      <alignment vertical="center" wrapText="1"/>
    </xf>
    <xf numFmtId="2" fontId="14" fillId="0" borderId="36" xfId="0" applyNumberFormat="1" applyFont="1" applyBorder="1" applyAlignment="1">
      <alignment vertical="center" wrapText="1"/>
    </xf>
    <xf numFmtId="1" fontId="15" fillId="0" borderId="36" xfId="0" applyNumberFormat="1" applyFont="1" applyBorder="1" applyAlignment="1">
      <alignment vertical="center" wrapText="1"/>
    </xf>
    <xf numFmtId="4" fontId="14" fillId="0" borderId="36" xfId="0" applyNumberFormat="1" applyFont="1" applyBorder="1" applyAlignment="1">
      <alignment vertical="center" wrapText="1"/>
    </xf>
    <xf numFmtId="0" fontId="14" fillId="0" borderId="36" xfId="0" applyFont="1" applyBorder="1"/>
    <xf numFmtId="0" fontId="15" fillId="0" borderId="35" xfId="0" applyFont="1" applyBorder="1" applyAlignment="1">
      <alignment vertical="center" wrapText="1"/>
    </xf>
    <xf numFmtId="2" fontId="16" fillId="0" borderId="36" xfId="0" applyNumberFormat="1" applyFont="1" applyBorder="1" applyAlignment="1">
      <alignment vertical="center" wrapText="1"/>
    </xf>
    <xf numFmtId="9" fontId="14" fillId="0" borderId="36" xfId="0" applyNumberFormat="1" applyFont="1" applyBorder="1" applyAlignment="1">
      <alignment vertical="center" wrapText="1"/>
    </xf>
    <xf numFmtId="16" fontId="27" fillId="0" borderId="36" xfId="0" applyNumberFormat="1" applyFont="1" applyBorder="1" applyAlignment="1">
      <alignment vertical="center" wrapText="1"/>
    </xf>
    <xf numFmtId="16" fontId="5" fillId="0" borderId="48" xfId="0" applyNumberFormat="1" applyFont="1" applyBorder="1" applyAlignment="1">
      <alignment vertical="center" wrapText="1"/>
    </xf>
    <xf numFmtId="4" fontId="5" fillId="0" borderId="48" xfId="0" applyNumberFormat="1" applyFont="1" applyBorder="1" applyAlignment="1">
      <alignment horizontal="right" vertical="center" wrapText="1"/>
    </xf>
    <xf numFmtId="2" fontId="5" fillId="0" borderId="48" xfId="0" applyNumberFormat="1" applyFont="1" applyBorder="1" applyAlignment="1">
      <alignment vertical="center" wrapText="1"/>
    </xf>
    <xf numFmtId="16" fontId="60" fillId="0" borderId="36" xfId="0" applyNumberFormat="1" applyFont="1" applyBorder="1" applyAlignment="1">
      <alignment vertical="center" wrapText="1"/>
    </xf>
    <xf numFmtId="0" fontId="15" fillId="0" borderId="36" xfId="0" applyFont="1" applyBorder="1" applyAlignment="1">
      <alignment horizontal="right" vertical="center" wrapText="1"/>
    </xf>
    <xf numFmtId="0" fontId="15" fillId="0" borderId="68" xfId="0" applyFont="1" applyBorder="1" applyAlignment="1">
      <alignment vertical="center" wrapText="1"/>
    </xf>
    <xf numFmtId="0" fontId="14" fillId="0" borderId="38" xfId="0" applyFont="1" applyBorder="1" applyAlignment="1">
      <alignment vertical="center" wrapText="1"/>
    </xf>
    <xf numFmtId="10" fontId="14" fillId="0" borderId="38" xfId="0" applyNumberFormat="1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4" fontId="15" fillId="0" borderId="36" xfId="0" applyNumberFormat="1" applyFont="1" applyBorder="1" applyAlignment="1">
      <alignment horizontal="center" vertical="center"/>
    </xf>
    <xf numFmtId="10" fontId="15" fillId="0" borderId="36" xfId="0" applyNumberFormat="1" applyFont="1" applyBorder="1" applyAlignment="1">
      <alignment horizontal="center" vertical="center" wrapText="1"/>
    </xf>
    <xf numFmtId="4" fontId="16" fillId="9" borderId="6" xfId="0" applyNumberFormat="1" applyFont="1" applyFill="1" applyBorder="1" applyAlignment="1">
      <alignment vertical="center" wrapText="1"/>
    </xf>
    <xf numFmtId="0" fontId="16" fillId="9" borderId="36" xfId="0" applyFont="1" applyFill="1" applyBorder="1" applyAlignment="1">
      <alignment horizontal="left" vertical="center" wrapText="1"/>
    </xf>
    <xf numFmtId="0" fontId="16" fillId="12" borderId="34" xfId="0" applyFont="1" applyFill="1" applyBorder="1" applyAlignment="1">
      <alignment horizontal="center" vertical="center" wrapText="1"/>
    </xf>
    <xf numFmtId="0" fontId="16" fillId="12" borderId="68" xfId="0" applyFont="1" applyFill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14" fontId="61" fillId="0" borderId="36" xfId="0" applyNumberFormat="1" applyFont="1" applyBorder="1" applyAlignment="1">
      <alignment horizontal="right" wrapText="1"/>
    </xf>
    <xf numFmtId="14" fontId="15" fillId="0" borderId="36" xfId="0" applyNumberFormat="1" applyFont="1" applyBorder="1" applyAlignment="1">
      <alignment vertical="center" wrapText="1"/>
    </xf>
    <xf numFmtId="14" fontId="62" fillId="0" borderId="36" xfId="0" applyNumberFormat="1" applyFont="1" applyBorder="1" applyAlignment="1">
      <alignment horizontal="right" wrapText="1"/>
    </xf>
    <xf numFmtId="0" fontId="57" fillId="0" borderId="36" xfId="0" applyFont="1" applyBorder="1" applyAlignment="1">
      <alignment horizontal="left" wrapText="1"/>
    </xf>
    <xf numFmtId="0" fontId="63" fillId="0" borderId="0" xfId="0" applyFont="1"/>
    <xf numFmtId="0" fontId="63" fillId="0" borderId="36" xfId="0" applyFont="1" applyBorder="1"/>
    <xf numFmtId="14" fontId="64" fillId="0" borderId="36" xfId="0" applyNumberFormat="1" applyFont="1" applyBorder="1" applyAlignment="1">
      <alignment horizontal="right" wrapText="1"/>
    </xf>
    <xf numFmtId="14" fontId="63" fillId="0" borderId="36" xfId="0" applyNumberFormat="1" applyFont="1" applyBorder="1" applyAlignment="1">
      <alignment horizontal="right" wrapText="1"/>
    </xf>
    <xf numFmtId="4" fontId="63" fillId="0" borderId="77" xfId="0" applyNumberFormat="1" applyFont="1" applyBorder="1" applyAlignment="1">
      <alignment horizontal="right"/>
    </xf>
    <xf numFmtId="1" fontId="15" fillId="0" borderId="36" xfId="1" applyNumberFormat="1" applyFont="1" applyBorder="1" applyAlignment="1">
      <alignment wrapText="1"/>
    </xf>
    <xf numFmtId="14" fontId="64" fillId="0" borderId="36" xfId="0" applyNumberFormat="1" applyFont="1" applyBorder="1" applyAlignment="1">
      <alignment horizontal="right"/>
    </xf>
    <xf numFmtId="0" fontId="63" fillId="0" borderId="36" xfId="0" applyFont="1" applyBorder="1" applyAlignment="1">
      <alignment horizontal="left" wrapText="1"/>
    </xf>
    <xf numFmtId="0" fontId="15" fillId="0" borderId="38" xfId="0" applyFont="1" applyBorder="1" applyAlignment="1">
      <alignment horizontal="right" vertical="center" wrapText="1"/>
    </xf>
    <xf numFmtId="0" fontId="65" fillId="0" borderId="36" xfId="0" applyFont="1" applyBorder="1" applyAlignment="1">
      <alignment horizontal="left" wrapText="1"/>
    </xf>
    <xf numFmtId="0" fontId="66" fillId="0" borderId="36" xfId="0" applyFont="1" applyBorder="1" applyAlignment="1">
      <alignment horizontal="left" wrapText="1"/>
    </xf>
    <xf numFmtId="0" fontId="67" fillId="0" borderId="36" xfId="0" applyFont="1" applyBorder="1" applyAlignment="1">
      <alignment horizontal="left" wrapText="1"/>
    </xf>
    <xf numFmtId="49" fontId="68" fillId="0" borderId="36" xfId="0" applyNumberFormat="1" applyFont="1" applyBorder="1" applyAlignment="1">
      <alignment horizontal="right"/>
    </xf>
    <xf numFmtId="0" fontId="15" fillId="9" borderId="53" xfId="0" applyFont="1" applyFill="1" applyBorder="1" applyAlignment="1">
      <alignment vertical="center" wrapText="1"/>
    </xf>
    <xf numFmtId="0" fontId="15" fillId="12" borderId="36" xfId="0" applyFont="1" applyFill="1" applyBorder="1" applyAlignment="1">
      <alignment vertical="center" wrapText="1"/>
    </xf>
    <xf numFmtId="2" fontId="15" fillId="12" borderId="36" xfId="0" applyNumberFormat="1" applyFont="1" applyFill="1" applyBorder="1" applyAlignment="1">
      <alignment vertical="center" wrapText="1"/>
    </xf>
    <xf numFmtId="49" fontId="25" fillId="0" borderId="36" xfId="0" applyNumberFormat="1" applyFont="1" applyBorder="1" applyAlignment="1">
      <alignment horizontal="right"/>
    </xf>
    <xf numFmtId="14" fontId="59" fillId="0" borderId="36" xfId="0" applyNumberFormat="1" applyFont="1" applyBorder="1" applyAlignment="1">
      <alignment horizontal="right"/>
    </xf>
    <xf numFmtId="14" fontId="57" fillId="0" borderId="36" xfId="0" applyNumberFormat="1" applyFont="1" applyBorder="1" applyAlignment="1">
      <alignment horizontal="right" wrapText="1"/>
    </xf>
    <xf numFmtId="14" fontId="67" fillId="0" borderId="36" xfId="0" applyNumberFormat="1" applyFont="1" applyBorder="1" applyAlignment="1">
      <alignment horizontal="right" wrapText="1"/>
    </xf>
    <xf numFmtId="4" fontId="15" fillId="12" borderId="36" xfId="0" applyNumberFormat="1" applyFont="1" applyFill="1" applyBorder="1" applyAlignment="1">
      <alignment vertical="center" wrapText="1"/>
    </xf>
    <xf numFmtId="4" fontId="15" fillId="3" borderId="6" xfId="0" applyNumberFormat="1" applyFont="1" applyFill="1" applyBorder="1" applyAlignment="1">
      <alignment vertical="center" wrapText="1"/>
    </xf>
    <xf numFmtId="0" fontId="69" fillId="0" borderId="36" xfId="0" applyFont="1" applyBorder="1" applyAlignment="1">
      <alignment horizontal="left" wrapText="1"/>
    </xf>
    <xf numFmtId="14" fontId="70" fillId="0" borderId="36" xfId="0" applyNumberFormat="1" applyFont="1" applyBorder="1" applyAlignment="1">
      <alignment horizontal="right" wrapText="1"/>
    </xf>
    <xf numFmtId="49" fontId="71" fillId="0" borderId="36" xfId="0" applyNumberFormat="1" applyFont="1" applyBorder="1" applyAlignment="1">
      <alignment horizontal="right"/>
    </xf>
    <xf numFmtId="14" fontId="71" fillId="0" borderId="36" xfId="0" applyNumberFormat="1" applyFont="1" applyBorder="1" applyAlignment="1">
      <alignment horizontal="right"/>
    </xf>
    <xf numFmtId="0" fontId="15" fillId="0" borderId="83" xfId="0" applyFont="1" applyBorder="1" applyAlignment="1">
      <alignment vertical="center" wrapText="1"/>
    </xf>
    <xf numFmtId="0" fontId="27" fillId="0" borderId="37" xfId="0" applyFont="1" applyBorder="1" applyAlignment="1">
      <alignment horizontal="center" vertical="center"/>
    </xf>
    <xf numFmtId="10" fontId="15" fillId="0" borderId="84" xfId="0" applyNumberFormat="1" applyFont="1" applyBorder="1" applyAlignment="1">
      <alignment horizontal="center" vertical="center" wrapText="1"/>
    </xf>
    <xf numFmtId="0" fontId="57" fillId="0" borderId="37" xfId="0" applyFont="1" applyBorder="1" applyAlignment="1">
      <alignment horizontal="left" wrapText="1"/>
    </xf>
    <xf numFmtId="0" fontId="15" fillId="0" borderId="37" xfId="0" applyFont="1" applyBorder="1" applyAlignment="1">
      <alignment horizontal="center" vertical="center"/>
    </xf>
    <xf numFmtId="0" fontId="15" fillId="0" borderId="51" xfId="0" applyFont="1" applyBorder="1" applyAlignment="1">
      <alignment horizontal="center" vertical="center" wrapText="1"/>
    </xf>
    <xf numFmtId="0" fontId="27" fillId="0" borderId="36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81" xfId="0" applyFont="1" applyFill="1" applyBorder="1" applyAlignment="1">
      <alignment horizontal="center" vertical="center" wrapText="1"/>
    </xf>
    <xf numFmtId="0" fontId="40" fillId="16" borderId="66" xfId="0" applyFont="1" applyFill="1" applyBorder="1" applyAlignment="1">
      <alignment horizontal="right" vertical="center"/>
    </xf>
    <xf numFmtId="0" fontId="40" fillId="16" borderId="67" xfId="0" applyFont="1" applyFill="1" applyBorder="1" applyAlignment="1">
      <alignment horizontal="right" vertical="center"/>
    </xf>
    <xf numFmtId="0" fontId="40" fillId="0" borderId="20" xfId="0" applyFont="1" applyBorder="1" applyAlignment="1">
      <alignment horizontal="center" vertical="center" wrapText="1"/>
    </xf>
    <xf numFmtId="0" fontId="40" fillId="0" borderId="39" xfId="0" applyFont="1" applyBorder="1" applyAlignment="1">
      <alignment horizontal="center" vertical="center" wrapText="1"/>
    </xf>
    <xf numFmtId="0" fontId="40" fillId="0" borderId="12" xfId="0" applyFont="1" applyBorder="1" applyAlignment="1">
      <alignment horizontal="center" vertical="center" wrapText="1"/>
    </xf>
    <xf numFmtId="0" fontId="39" fillId="0" borderId="9" xfId="0" applyFont="1" applyBorder="1" applyAlignment="1">
      <alignment horizontal="right" vertical="center"/>
    </xf>
    <xf numFmtId="0" fontId="39" fillId="0" borderId="16" xfId="0" applyFont="1" applyBorder="1" applyAlignment="1">
      <alignment horizontal="right" vertical="center"/>
    </xf>
    <xf numFmtId="3" fontId="39" fillId="0" borderId="9" xfId="0" applyNumberFormat="1" applyFont="1" applyBorder="1" applyAlignment="1">
      <alignment horizontal="justify" vertical="center"/>
    </xf>
    <xf numFmtId="3" fontId="39" fillId="0" borderId="16" xfId="0" applyNumberFormat="1" applyFont="1" applyBorder="1" applyAlignment="1">
      <alignment horizontal="justify" vertical="center"/>
    </xf>
    <xf numFmtId="0" fontId="39" fillId="0" borderId="9" xfId="0" applyFont="1" applyBorder="1" applyAlignment="1">
      <alignment horizontal="right" vertical="center" indent="1"/>
    </xf>
    <xf numFmtId="0" fontId="39" fillId="0" borderId="16" xfId="0" applyFont="1" applyBorder="1" applyAlignment="1">
      <alignment horizontal="right" vertical="center" indent="1"/>
    </xf>
    <xf numFmtId="0" fontId="39" fillId="0" borderId="65" xfId="0" applyFont="1" applyBorder="1" applyAlignment="1">
      <alignment horizontal="right" vertical="center" indent="1"/>
    </xf>
    <xf numFmtId="0" fontId="39" fillId="0" borderId="54" xfId="0" applyFont="1" applyBorder="1" applyAlignment="1">
      <alignment horizontal="right" vertical="center" indent="1"/>
    </xf>
    <xf numFmtId="0" fontId="39" fillId="0" borderId="62" xfId="0" applyFont="1" applyBorder="1" applyAlignment="1">
      <alignment horizontal="right" vertical="center" indent="1"/>
    </xf>
    <xf numFmtId="0" fontId="39" fillId="0" borderId="17" xfId="0" applyFont="1" applyBorder="1" applyAlignment="1">
      <alignment horizontal="right" vertical="center" indent="1"/>
    </xf>
    <xf numFmtId="0" fontId="40" fillId="5" borderId="40" xfId="0" applyFont="1" applyFill="1" applyBorder="1" applyAlignment="1">
      <alignment horizontal="justify" vertical="center" wrapText="1"/>
    </xf>
    <xf numFmtId="0" fontId="40" fillId="5" borderId="41" xfId="0" applyFont="1" applyFill="1" applyBorder="1" applyAlignment="1">
      <alignment horizontal="justify" vertical="center" wrapText="1"/>
    </xf>
    <xf numFmtId="0" fontId="40" fillId="5" borderId="63" xfId="0" applyFont="1" applyFill="1" applyBorder="1" applyAlignment="1">
      <alignment horizontal="right" vertical="center" indent="1"/>
    </xf>
    <xf numFmtId="0" fontId="40" fillId="5" borderId="64" xfId="0" applyFont="1" applyFill="1" applyBorder="1" applyAlignment="1">
      <alignment horizontal="right" vertical="center" indent="1"/>
    </xf>
    <xf numFmtId="0" fontId="39" fillId="0" borderId="23" xfId="0" applyFont="1" applyBorder="1" applyAlignment="1">
      <alignment horizontal="right" vertical="center"/>
    </xf>
    <xf numFmtId="0" fontId="39" fillId="0" borderId="9" xfId="0" applyFont="1" applyBorder="1" applyAlignment="1">
      <alignment horizontal="justify" vertical="center"/>
    </xf>
    <xf numFmtId="0" fontId="39" fillId="0" borderId="16" xfId="0" applyFont="1" applyBorder="1" applyAlignment="1">
      <alignment horizontal="justify" vertical="center"/>
    </xf>
    <xf numFmtId="0" fontId="39" fillId="0" borderId="23" xfId="0" applyFont="1" applyBorder="1" applyAlignment="1">
      <alignment horizontal="justify" vertical="center"/>
    </xf>
    <xf numFmtId="0" fontId="39" fillId="0" borderId="23" xfId="0" applyFont="1" applyBorder="1" applyAlignment="1">
      <alignment horizontal="right" vertical="center" indent="1"/>
    </xf>
    <xf numFmtId="0" fontId="39" fillId="0" borderId="59" xfId="0" applyFont="1" applyBorder="1" applyAlignment="1">
      <alignment horizontal="right" vertical="center" indent="1"/>
    </xf>
    <xf numFmtId="0" fontId="39" fillId="0" borderId="61" xfId="0" applyFont="1" applyBorder="1" applyAlignment="1">
      <alignment horizontal="right" vertical="center" indent="1"/>
    </xf>
    <xf numFmtId="0" fontId="39" fillId="0" borderId="23" xfId="0" applyFont="1" applyBorder="1" applyAlignment="1">
      <alignment horizontal="right" vertical="center" wrapText="1"/>
    </xf>
    <xf numFmtId="0" fontId="39" fillId="0" borderId="13" xfId="0" applyFont="1" applyBorder="1" applyAlignment="1">
      <alignment horizontal="right" vertical="center" wrapText="1"/>
    </xf>
    <xf numFmtId="3" fontId="39" fillId="0" borderId="23" xfId="0" applyNumberFormat="1" applyFont="1" applyBorder="1" applyAlignment="1">
      <alignment horizontal="justify" vertical="center" wrapText="1"/>
    </xf>
    <xf numFmtId="3" fontId="39" fillId="0" borderId="13" xfId="0" applyNumberFormat="1" applyFont="1" applyBorder="1" applyAlignment="1">
      <alignment horizontal="justify" vertical="center" wrapText="1"/>
    </xf>
    <xf numFmtId="0" fontId="39" fillId="0" borderId="23" xfId="0" applyFont="1" applyBorder="1" applyAlignment="1">
      <alignment horizontal="right" vertical="center" wrapText="1" indent="1"/>
    </xf>
    <xf numFmtId="0" fontId="39" fillId="0" borderId="13" xfId="0" applyFont="1" applyBorder="1" applyAlignment="1">
      <alignment horizontal="right" vertical="center" wrapText="1" indent="1"/>
    </xf>
    <xf numFmtId="0" fontId="39" fillId="0" borderId="59" xfId="0" applyFont="1" applyBorder="1" applyAlignment="1">
      <alignment horizontal="center" vertical="center" wrapText="1"/>
    </xf>
    <xf numFmtId="0" fontId="39" fillId="0" borderId="60" xfId="0" applyFont="1" applyBorder="1" applyAlignment="1">
      <alignment horizontal="center" vertical="center" wrapText="1"/>
    </xf>
    <xf numFmtId="0" fontId="39" fillId="0" borderId="55" xfId="0" applyFont="1" applyBorder="1" applyAlignment="1">
      <alignment horizontal="right" vertical="center" wrapText="1" indent="1"/>
    </xf>
    <xf numFmtId="0" fontId="39" fillId="0" borderId="14" xfId="0" applyFont="1" applyBorder="1" applyAlignment="1">
      <alignment horizontal="right" vertical="center" wrapText="1" indent="1"/>
    </xf>
    <xf numFmtId="0" fontId="39" fillId="0" borderId="9" xfId="0" applyFont="1" applyBorder="1" applyAlignment="1">
      <alignment horizontal="justify" vertical="center" wrapText="1"/>
    </xf>
    <xf numFmtId="0" fontId="39" fillId="0" borderId="10" xfId="0" applyFont="1" applyBorder="1" applyAlignment="1">
      <alignment horizontal="justify" vertical="center" wrapText="1"/>
    </xf>
    <xf numFmtId="0" fontId="40" fillId="0" borderId="9" xfId="0" applyFont="1" applyBorder="1" applyAlignment="1">
      <alignment horizontal="center" vertical="center" wrapText="1"/>
    </xf>
    <xf numFmtId="0" fontId="40" fillId="0" borderId="10" xfId="0" applyFont="1" applyBorder="1" applyAlignment="1">
      <alignment horizontal="center" vertical="center" wrapText="1"/>
    </xf>
    <xf numFmtId="0" fontId="39" fillId="0" borderId="57" xfId="0" applyFont="1" applyBorder="1" applyAlignment="1">
      <alignment horizontal="center" vertical="center" wrapText="1"/>
    </xf>
    <xf numFmtId="0" fontId="39" fillId="0" borderId="58" xfId="0" applyFont="1" applyBorder="1" applyAlignment="1">
      <alignment horizontal="center" vertical="center" wrapText="1"/>
    </xf>
    <xf numFmtId="0" fontId="40" fillId="5" borderId="21" xfId="0" applyFont="1" applyFill="1" applyBorder="1" applyAlignment="1">
      <alignment horizontal="justify" vertical="center" wrapText="1"/>
    </xf>
    <xf numFmtId="0" fontId="40" fillId="5" borderId="22" xfId="0" applyFont="1" applyFill="1" applyBorder="1" applyAlignment="1">
      <alignment horizontal="justify" vertical="center" wrapText="1"/>
    </xf>
    <xf numFmtId="0" fontId="40" fillId="5" borderId="21" xfId="0" applyFont="1" applyFill="1" applyBorder="1" applyAlignment="1">
      <alignment horizontal="right" vertical="center" wrapText="1" indent="1"/>
    </xf>
    <xf numFmtId="0" fontId="40" fillId="5" borderId="22" xfId="0" applyFont="1" applyFill="1" applyBorder="1" applyAlignment="1">
      <alignment horizontal="right" vertical="center" wrapText="1" indent="1"/>
    </xf>
    <xf numFmtId="0" fontId="13" fillId="0" borderId="0" xfId="0" applyFont="1" applyAlignment="1">
      <alignment horizontal="left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left"/>
    </xf>
    <xf numFmtId="0" fontId="55" fillId="0" borderId="0" xfId="0" applyFont="1" applyAlignment="1">
      <alignment horizontal="left"/>
    </xf>
    <xf numFmtId="0" fontId="56" fillId="0" borderId="0" xfId="0" applyFont="1" applyAlignment="1">
      <alignment horizontal="left" vertical="center" wrapText="1"/>
    </xf>
    <xf numFmtId="0" fontId="50" fillId="3" borderId="2" xfId="0" applyFont="1" applyFill="1" applyBorder="1" applyAlignment="1">
      <alignment horizontal="center" vertical="center" wrapText="1"/>
    </xf>
    <xf numFmtId="0" fontId="50" fillId="3" borderId="3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left" wrapText="1"/>
    </xf>
    <xf numFmtId="0" fontId="5" fillId="0" borderId="2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164" fontId="16" fillId="0" borderId="2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6" fontId="15" fillId="0" borderId="2" xfId="0" applyNumberFormat="1" applyFont="1" applyBorder="1" applyAlignment="1">
      <alignment horizontal="center" vertical="center" wrapText="1"/>
    </xf>
    <xf numFmtId="166" fontId="15" fillId="0" borderId="3" xfId="0" applyNumberFormat="1" applyFont="1" applyBorder="1" applyAlignment="1">
      <alignment horizontal="center" vertical="center" wrapText="1"/>
    </xf>
    <xf numFmtId="0" fontId="16" fillId="9" borderId="36" xfId="0" applyFont="1" applyFill="1" applyBorder="1" applyAlignment="1">
      <alignment horizontal="left" vertical="center" wrapText="1"/>
    </xf>
    <xf numFmtId="0" fontId="16" fillId="9" borderId="7" xfId="0" applyFont="1" applyFill="1" applyBorder="1" applyAlignment="1">
      <alignment horizontal="center" vertical="center" wrapText="1"/>
    </xf>
    <xf numFmtId="0" fontId="16" fillId="9" borderId="30" xfId="0" applyFont="1" applyFill="1" applyBorder="1" applyAlignment="1">
      <alignment horizontal="center" vertical="center" wrapText="1"/>
    </xf>
    <xf numFmtId="0" fontId="16" fillId="9" borderId="52" xfId="0" applyFont="1" applyFill="1" applyBorder="1" applyAlignment="1">
      <alignment horizontal="center" vertical="center" wrapText="1"/>
    </xf>
    <xf numFmtId="0" fontId="16" fillId="12" borderId="34" xfId="0" applyFont="1" applyFill="1" applyBorder="1" applyAlignment="1">
      <alignment horizontal="center" vertical="center" wrapText="1"/>
    </xf>
    <xf numFmtId="0" fontId="16" fillId="12" borderId="68" xfId="0" applyFont="1" applyFill="1" applyBorder="1" applyAlignment="1">
      <alignment horizontal="center" vertical="center" wrapText="1"/>
    </xf>
    <xf numFmtId="0" fontId="16" fillId="12" borderId="35" xfId="0" applyFont="1" applyFill="1" applyBorder="1" applyAlignment="1">
      <alignment horizontal="center" vertical="center" wrapText="1"/>
    </xf>
    <xf numFmtId="0" fontId="16" fillId="0" borderId="47" xfId="0" applyFont="1" applyBorder="1" applyAlignment="1">
      <alignment horizontal="center" vertical="center" wrapText="1"/>
    </xf>
    <xf numFmtId="0" fontId="16" fillId="0" borderId="76" xfId="0" applyFont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wrapText="1"/>
    </xf>
    <xf numFmtId="0" fontId="15" fillId="3" borderId="2" xfId="0" applyFont="1" applyFill="1" applyBorder="1" applyAlignment="1">
      <alignment vertical="center" wrapText="1"/>
    </xf>
    <xf numFmtId="0" fontId="15" fillId="3" borderId="3" xfId="0" applyFont="1" applyFill="1" applyBorder="1" applyAlignment="1">
      <alignment vertical="center" wrapText="1"/>
    </xf>
    <xf numFmtId="0" fontId="16" fillId="3" borderId="2" xfId="0" applyFont="1" applyFill="1" applyBorder="1" applyAlignment="1">
      <alignment vertical="center" wrapText="1"/>
    </xf>
    <xf numFmtId="0" fontId="16" fillId="3" borderId="3" xfId="0" applyFont="1" applyFill="1" applyBorder="1" applyAlignment="1">
      <alignment vertical="center" wrapText="1"/>
    </xf>
    <xf numFmtId="0" fontId="16" fillId="0" borderId="31" xfId="0" applyFont="1" applyBorder="1" applyAlignment="1">
      <alignment horizontal="left" vertical="center" wrapText="1"/>
    </xf>
    <xf numFmtId="0" fontId="16" fillId="0" borderId="32" xfId="0" applyFont="1" applyBorder="1" applyAlignment="1">
      <alignment horizontal="left" vertical="center" wrapText="1"/>
    </xf>
    <xf numFmtId="0" fontId="16" fillId="0" borderId="33" xfId="0" applyFont="1" applyBorder="1" applyAlignment="1">
      <alignment horizontal="left" vertical="center" wrapText="1"/>
    </xf>
    <xf numFmtId="0" fontId="26" fillId="0" borderId="8" xfId="0" applyFont="1" applyBorder="1" applyAlignment="1">
      <alignment horizontal="center" wrapText="1"/>
    </xf>
    <xf numFmtId="0" fontId="38" fillId="0" borderId="49" xfId="0" applyFont="1" applyBorder="1" applyAlignment="1">
      <alignment horizontal="left"/>
    </xf>
    <xf numFmtId="4" fontId="47" fillId="20" borderId="73" xfId="0" applyNumberFormat="1" applyFont="1" applyFill="1" applyBorder="1" applyAlignment="1">
      <alignment horizontal="right" vertical="center"/>
    </xf>
    <xf numFmtId="4" fontId="47" fillId="20" borderId="71" xfId="0" applyNumberFormat="1" applyFont="1" applyFill="1" applyBorder="1" applyAlignment="1">
      <alignment horizontal="right" vertical="center"/>
    </xf>
    <xf numFmtId="0" fontId="46" fillId="20" borderId="73" xfId="0" applyFont="1" applyFill="1" applyBorder="1" applyAlignment="1">
      <alignment horizontal="right" vertical="center"/>
    </xf>
    <xf numFmtId="0" fontId="46" fillId="20" borderId="71" xfId="0" applyFont="1" applyFill="1" applyBorder="1" applyAlignment="1">
      <alignment horizontal="right" vertical="center"/>
    </xf>
    <xf numFmtId="0" fontId="46" fillId="20" borderId="73" xfId="0" applyFont="1" applyFill="1" applyBorder="1" applyAlignment="1">
      <alignment vertical="center" wrapText="1"/>
    </xf>
    <xf numFmtId="0" fontId="46" fillId="20" borderId="71" xfId="0" applyFont="1" applyFill="1" applyBorder="1" applyAlignment="1">
      <alignment vertical="center" wrapText="1"/>
    </xf>
    <xf numFmtId="4" fontId="46" fillId="20" borderId="73" xfId="0" applyNumberFormat="1" applyFont="1" applyFill="1" applyBorder="1" applyAlignment="1">
      <alignment horizontal="right" vertical="center"/>
    </xf>
    <xf numFmtId="4" fontId="46" fillId="20" borderId="71" xfId="0" applyNumberFormat="1" applyFont="1" applyFill="1" applyBorder="1" applyAlignment="1">
      <alignment horizontal="right" vertical="center"/>
    </xf>
    <xf numFmtId="16" fontId="15" fillId="8" borderId="34" xfId="0" applyNumberFormat="1" applyFont="1" applyFill="1" applyBorder="1" applyAlignment="1">
      <alignment horizontal="center" vertical="center" wrapText="1"/>
    </xf>
    <xf numFmtId="16" fontId="15" fillId="8" borderId="35" xfId="0" applyNumberFormat="1" applyFont="1" applyFill="1" applyBorder="1" applyAlignment="1">
      <alignment horizontal="center" vertical="center" wrapText="1"/>
    </xf>
    <xf numFmtId="16" fontId="4" fillId="8" borderId="34" xfId="0" applyNumberFormat="1" applyFont="1" applyFill="1" applyBorder="1" applyAlignment="1">
      <alignment horizontal="center" vertical="center" wrapText="1"/>
    </xf>
    <xf numFmtId="16" fontId="4" fillId="8" borderId="35" xfId="0" applyNumberFormat="1" applyFont="1" applyFill="1" applyBorder="1" applyAlignment="1">
      <alignment horizontal="center" vertical="center" wrapText="1"/>
    </xf>
    <xf numFmtId="0" fontId="23" fillId="8" borderId="34" xfId="0" applyFont="1" applyFill="1" applyBorder="1" applyAlignment="1">
      <alignment horizontal="center" vertical="center" wrapText="1"/>
    </xf>
    <xf numFmtId="0" fontId="23" fillId="8" borderId="35" xfId="0" applyFont="1" applyFill="1" applyBorder="1" applyAlignment="1">
      <alignment horizontal="center" vertical="center" wrapText="1"/>
    </xf>
    <xf numFmtId="16" fontId="24" fillId="8" borderId="34" xfId="0" applyNumberFormat="1" applyFont="1" applyFill="1" applyBorder="1" applyAlignment="1">
      <alignment horizontal="center" vertical="center" wrapText="1"/>
    </xf>
    <xf numFmtId="16" fontId="24" fillId="8" borderId="35" xfId="0" applyNumberFormat="1" applyFont="1" applyFill="1" applyBorder="1" applyAlignment="1">
      <alignment horizontal="center" vertical="center" wrapText="1"/>
    </xf>
    <xf numFmtId="0" fontId="24" fillId="8" borderId="34" xfId="0" applyFont="1" applyFill="1" applyBorder="1" applyAlignment="1">
      <alignment horizontal="center" vertical="center" wrapText="1"/>
    </xf>
    <xf numFmtId="0" fontId="24" fillId="8" borderId="35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8" borderId="34" xfId="0" applyFont="1" applyFill="1" applyBorder="1" applyAlignment="1">
      <alignment horizontal="center" vertical="center" wrapText="1"/>
    </xf>
    <xf numFmtId="0" fontId="4" fillId="8" borderId="35" xfId="0" applyFont="1" applyFill="1" applyBorder="1" applyAlignment="1">
      <alignment horizontal="center" vertical="center" wrapText="1"/>
    </xf>
    <xf numFmtId="0" fontId="15" fillId="8" borderId="34" xfId="0" applyFont="1" applyFill="1" applyBorder="1" applyAlignment="1">
      <alignment horizontal="center" vertical="center" wrapText="1"/>
    </xf>
    <xf numFmtId="0" fontId="15" fillId="8" borderId="35" xfId="0" applyFont="1" applyFill="1" applyBorder="1" applyAlignment="1">
      <alignment horizontal="center" vertical="center" wrapText="1"/>
    </xf>
    <xf numFmtId="2" fontId="4" fillId="3" borderId="2" xfId="0" applyNumberFormat="1" applyFont="1" applyFill="1" applyBorder="1" applyAlignment="1">
      <alignment horizontal="center" vertical="center" wrapText="1"/>
    </xf>
    <xf numFmtId="2" fontId="4" fillId="3" borderId="3" xfId="0" applyNumberFormat="1" applyFont="1" applyFill="1" applyBorder="1" applyAlignment="1">
      <alignment horizontal="center" vertical="center" wrapText="1"/>
    </xf>
    <xf numFmtId="2" fontId="40" fillId="16" borderId="66" xfId="0" applyNumberFormat="1" applyFont="1" applyFill="1" applyBorder="1" applyAlignment="1">
      <alignment horizontal="right" vertical="center"/>
    </xf>
    <xf numFmtId="2" fontId="40" fillId="16" borderId="67" xfId="0" applyNumberFormat="1" applyFont="1" applyFill="1" applyBorder="1" applyAlignment="1">
      <alignment horizontal="right" vertical="center"/>
    </xf>
    <xf numFmtId="2" fontId="39" fillId="0" borderId="65" xfId="0" applyNumberFormat="1" applyFont="1" applyBorder="1" applyAlignment="1">
      <alignment horizontal="right" vertical="center" indent="1"/>
    </xf>
    <xf numFmtId="2" fontId="39" fillId="0" borderId="54" xfId="0" applyNumberFormat="1" applyFont="1" applyBorder="1" applyAlignment="1">
      <alignment horizontal="right" vertical="center" indent="1"/>
    </xf>
    <xf numFmtId="2" fontId="39" fillId="0" borderId="62" xfId="0" applyNumberFormat="1" applyFont="1" applyBorder="1" applyAlignment="1">
      <alignment horizontal="right" vertical="center" indent="1"/>
    </xf>
    <xf numFmtId="2" fontId="39" fillId="0" borderId="17" xfId="0" applyNumberFormat="1" applyFont="1" applyBorder="1" applyAlignment="1">
      <alignment horizontal="right" vertical="center" indent="1"/>
    </xf>
    <xf numFmtId="2" fontId="40" fillId="5" borderId="63" xfId="0" applyNumberFormat="1" applyFont="1" applyFill="1" applyBorder="1" applyAlignment="1">
      <alignment horizontal="right" vertical="center" indent="1"/>
    </xf>
    <xf numFmtId="2" fontId="40" fillId="5" borderId="64" xfId="0" applyNumberFormat="1" applyFont="1" applyFill="1" applyBorder="1" applyAlignment="1">
      <alignment horizontal="right" vertical="center" indent="1"/>
    </xf>
    <xf numFmtId="2" fontId="39" fillId="0" borderId="59" xfId="0" applyNumberFormat="1" applyFont="1" applyBorder="1" applyAlignment="1">
      <alignment horizontal="right" vertical="center" indent="1"/>
    </xf>
    <xf numFmtId="2" fontId="39" fillId="0" borderId="61" xfId="0" applyNumberFormat="1" applyFont="1" applyBorder="1" applyAlignment="1">
      <alignment horizontal="right" vertical="center" indent="1"/>
    </xf>
    <xf numFmtId="2" fontId="40" fillId="5" borderId="21" xfId="0" applyNumberFormat="1" applyFont="1" applyFill="1" applyBorder="1" applyAlignment="1">
      <alignment horizontal="right" vertical="center" wrapText="1" indent="1"/>
    </xf>
    <xf numFmtId="2" fontId="40" fillId="5" borderId="22" xfId="0" applyNumberFormat="1" applyFont="1" applyFill="1" applyBorder="1" applyAlignment="1">
      <alignment horizontal="right" vertical="center" wrapText="1" indent="1"/>
    </xf>
    <xf numFmtId="2" fontId="39" fillId="0" borderId="59" xfId="0" applyNumberFormat="1" applyFont="1" applyBorder="1" applyAlignment="1">
      <alignment horizontal="center" vertical="center" wrapText="1"/>
    </xf>
    <xf numFmtId="2" fontId="39" fillId="0" borderId="60" xfId="0" applyNumberFormat="1" applyFont="1" applyBorder="1" applyAlignment="1">
      <alignment horizontal="center" vertical="center" wrapText="1"/>
    </xf>
    <xf numFmtId="2" fontId="39" fillId="0" borderId="55" xfId="0" applyNumberFormat="1" applyFont="1" applyBorder="1" applyAlignment="1">
      <alignment horizontal="right" vertical="center" wrapText="1" indent="1"/>
    </xf>
    <xf numFmtId="2" fontId="39" fillId="0" borderId="14" xfId="0" applyNumberFormat="1" applyFont="1" applyBorder="1" applyAlignment="1">
      <alignment horizontal="right" vertical="center" wrapText="1" indent="1"/>
    </xf>
    <xf numFmtId="0" fontId="43" fillId="0" borderId="20" xfId="2" applyBorder="1" applyAlignment="1">
      <alignment horizontal="center" vertical="center" wrapText="1"/>
    </xf>
    <xf numFmtId="0" fontId="43" fillId="0" borderId="39" xfId="2" applyBorder="1" applyAlignment="1">
      <alignment horizontal="center" vertical="center" wrapText="1"/>
    </xf>
    <xf numFmtId="2" fontId="39" fillId="0" borderId="57" xfId="0" applyNumberFormat="1" applyFont="1" applyBorder="1" applyAlignment="1">
      <alignment horizontal="center" vertical="center" wrapText="1"/>
    </xf>
    <xf numFmtId="2" fontId="39" fillId="0" borderId="58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2" fontId="2" fillId="0" borderId="23" xfId="0" applyNumberFormat="1" applyFont="1" applyBorder="1" applyAlignment="1">
      <alignment horizontal="right" vertical="center" wrapText="1" indent="1"/>
    </xf>
    <xf numFmtId="2" fontId="2" fillId="0" borderId="13" xfId="0" applyNumberFormat="1" applyFont="1" applyBorder="1" applyAlignment="1">
      <alignment horizontal="right" vertical="center" wrapText="1" indent="1"/>
    </xf>
    <xf numFmtId="0" fontId="2" fillId="0" borderId="9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3" fontId="2" fillId="0" borderId="9" xfId="0" applyNumberFormat="1" applyFont="1" applyBorder="1" applyAlignment="1">
      <alignment horizontal="right" vertical="center"/>
    </xf>
    <xf numFmtId="3" fontId="2" fillId="0" borderId="16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 indent="1"/>
    </xf>
    <xf numFmtId="0" fontId="2" fillId="0" borderId="16" xfId="0" applyFont="1" applyBorder="1" applyAlignment="1">
      <alignment horizontal="right" vertical="center" indent="1"/>
    </xf>
    <xf numFmtId="2" fontId="2" fillId="0" borderId="9" xfId="0" applyNumberFormat="1" applyFont="1" applyBorder="1" applyAlignment="1">
      <alignment horizontal="right" vertical="center" wrapText="1" indent="1"/>
    </xf>
    <xf numFmtId="2" fontId="2" fillId="0" borderId="16" xfId="0" applyNumberFormat="1" applyFont="1" applyBorder="1" applyAlignment="1">
      <alignment horizontal="right" vertical="center" wrapText="1" indent="1"/>
    </xf>
    <xf numFmtId="0" fontId="2" fillId="0" borderId="9" xfId="0" applyFont="1" applyBorder="1" applyAlignment="1">
      <alignment horizontal="right" vertical="center" wrapText="1" indent="1"/>
    </xf>
    <xf numFmtId="0" fontId="2" fillId="0" borderId="16" xfId="0" applyFont="1" applyBorder="1" applyAlignment="1">
      <alignment horizontal="right" vertical="center" wrapText="1" indent="1"/>
    </xf>
    <xf numFmtId="0" fontId="2" fillId="0" borderId="23" xfId="0" applyFont="1" applyBorder="1" applyAlignment="1">
      <alignment horizontal="right" vertical="center"/>
    </xf>
    <xf numFmtId="3" fontId="2" fillId="0" borderId="23" xfId="0" applyNumberFormat="1" applyFont="1" applyBorder="1" applyAlignment="1">
      <alignment horizontal="right" vertical="center" indent="1"/>
    </xf>
    <xf numFmtId="3" fontId="2" fillId="0" borderId="16" xfId="0" applyNumberFormat="1" applyFont="1" applyBorder="1" applyAlignment="1">
      <alignment horizontal="right" vertical="center" indent="1"/>
    </xf>
    <xf numFmtId="0" fontId="2" fillId="0" borderId="23" xfId="0" applyFont="1" applyBorder="1" applyAlignment="1">
      <alignment horizontal="right" vertical="center" indent="1"/>
    </xf>
    <xf numFmtId="0" fontId="2" fillId="0" borderId="23" xfId="0" applyFont="1" applyBorder="1" applyAlignment="1">
      <alignment horizontal="right" vertical="center" wrapText="1" indent="1"/>
    </xf>
    <xf numFmtId="0" fontId="3" fillId="5" borderId="21" xfId="0" applyFont="1" applyFill="1" applyBorder="1" applyAlignment="1">
      <alignment horizontal="justify" vertical="center" wrapText="1"/>
    </xf>
    <xf numFmtId="0" fontId="3" fillId="5" borderId="22" xfId="0" applyFont="1" applyFill="1" applyBorder="1" applyAlignment="1">
      <alignment horizontal="justify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right" vertical="center" wrapText="1"/>
    </xf>
    <xf numFmtId="3" fontId="2" fillId="0" borderId="23" xfId="0" applyNumberFormat="1" applyFont="1" applyBorder="1" applyAlignment="1">
      <alignment horizontal="right" vertical="center" wrapText="1" indent="1"/>
    </xf>
    <xf numFmtId="3" fontId="2" fillId="0" borderId="13" xfId="0" applyNumberFormat="1" applyFont="1" applyBorder="1" applyAlignment="1">
      <alignment horizontal="right" vertical="center" wrapText="1" indent="1"/>
    </xf>
    <xf numFmtId="0" fontId="2" fillId="0" borderId="13" xfId="0" applyFont="1" applyBorder="1" applyAlignment="1">
      <alignment horizontal="right" vertical="center" wrapText="1" indent="1"/>
    </xf>
    <xf numFmtId="14" fontId="30" fillId="0" borderId="36" xfId="0" applyNumberFormat="1" applyFont="1" applyBorder="1" applyAlignment="1">
      <alignment horizontal="left" wrapText="1"/>
    </xf>
    <xf numFmtId="14" fontId="14" fillId="0" borderId="36" xfId="0" applyNumberFormat="1" applyFont="1" applyBorder="1" applyAlignment="1">
      <alignment horizontal="left" wrapText="1"/>
    </xf>
    <xf numFmtId="49" fontId="65" fillId="0" borderId="36" xfId="0" applyNumberFormat="1" applyFont="1" applyBorder="1" applyAlignment="1">
      <alignment horizontal="left" wrapText="1"/>
    </xf>
    <xf numFmtId="49" fontId="70" fillId="0" borderId="36" xfId="0" applyNumberFormat="1" applyFont="1" applyBorder="1" applyAlignment="1">
      <alignment horizontal="left" wrapText="1"/>
    </xf>
    <xf numFmtId="2" fontId="15" fillId="0" borderId="36" xfId="0" applyNumberFormat="1" applyFont="1" applyBorder="1" applyAlignment="1">
      <alignment horizontal="right" vertical="center" wrapText="1"/>
    </xf>
    <xf numFmtId="4" fontId="15" fillId="0" borderId="48" xfId="0" applyNumberFormat="1" applyFont="1" applyBorder="1" applyAlignment="1">
      <alignment vertical="center" wrapText="1"/>
    </xf>
    <xf numFmtId="2" fontId="15" fillId="0" borderId="48" xfId="0" applyNumberFormat="1" applyFont="1" applyBorder="1" applyAlignment="1">
      <alignment vertical="center" wrapText="1"/>
    </xf>
    <xf numFmtId="4" fontId="15" fillId="0" borderId="82" xfId="0" applyNumberFormat="1" applyFont="1" applyBorder="1" applyAlignment="1">
      <alignment vertical="center" wrapText="1"/>
    </xf>
  </cellXfs>
  <cellStyles count="3">
    <cellStyle name="Нормален" xfId="0" builtinId="0"/>
    <cellStyle name="Нормален 2" xfId="1"/>
    <cellStyle name="Хипервръзка" xfId="2" builtinId="8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0</xdr:row>
      <xdr:rowOff>114300</xdr:rowOff>
    </xdr:from>
    <xdr:to>
      <xdr:col>10</xdr:col>
      <xdr:colOff>227013</xdr:colOff>
      <xdr:row>1</xdr:row>
      <xdr:rowOff>411956</xdr:rowOff>
    </xdr:to>
    <xdr:pic>
      <xdr:nvPicPr>
        <xdr:cNvPr id="2" name="Картин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90900" y="114300"/>
          <a:ext cx="10785475" cy="1000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120" zoomScaleNormal="100" zoomScaleSheetLayoutView="120" workbookViewId="0">
      <selection activeCell="I46" sqref="I46:I64"/>
    </sheetView>
  </sheetViews>
  <sheetFormatPr defaultRowHeight="14.4"/>
  <cols>
    <col min="1" max="1" width="15.6640625" customWidth="1"/>
    <col min="2" max="2" width="15.88671875" customWidth="1"/>
  </cols>
  <sheetData>
    <row r="1" spans="1:10" ht="15" thickBot="1">
      <c r="A1" s="523" t="s">
        <v>524</v>
      </c>
      <c r="B1" s="523"/>
      <c r="C1" s="523"/>
      <c r="D1" s="523"/>
      <c r="E1" s="523"/>
      <c r="F1" s="523"/>
      <c r="G1" s="523"/>
      <c r="H1" s="523"/>
      <c r="I1" s="523"/>
      <c r="J1" s="523"/>
    </row>
    <row r="2" spans="1:10" ht="88.5" customHeight="1" thickBot="1">
      <c r="A2" s="524" t="s">
        <v>0</v>
      </c>
      <c r="B2" s="524" t="s">
        <v>1</v>
      </c>
      <c r="C2" s="526" t="s">
        <v>2</v>
      </c>
      <c r="D2" s="527"/>
      <c r="E2" s="526" t="s">
        <v>3</v>
      </c>
      <c r="F2" s="527"/>
      <c r="G2" s="526" t="s">
        <v>4</v>
      </c>
      <c r="H2" s="527"/>
      <c r="I2" s="526" t="s">
        <v>5</v>
      </c>
      <c r="J2" s="527"/>
    </row>
    <row r="3" spans="1:10" ht="15" thickBot="1">
      <c r="A3" s="525"/>
      <c r="B3" s="525"/>
      <c r="C3" s="1" t="s">
        <v>6</v>
      </c>
      <c r="D3" s="1" t="s">
        <v>7</v>
      </c>
      <c r="E3" s="1" t="s">
        <v>6</v>
      </c>
      <c r="F3" s="1" t="s">
        <v>7</v>
      </c>
      <c r="G3" s="1" t="s">
        <v>6</v>
      </c>
      <c r="H3" s="1" t="s">
        <v>7</v>
      </c>
      <c r="I3" s="1" t="s">
        <v>6</v>
      </c>
      <c r="J3" s="1" t="s">
        <v>7</v>
      </c>
    </row>
    <row r="4" spans="1:10" ht="60.6" thickBot="1">
      <c r="A4" s="2" t="s">
        <v>8</v>
      </c>
      <c r="B4" s="60">
        <v>41</v>
      </c>
      <c r="C4" s="60">
        <v>4</v>
      </c>
      <c r="D4" s="60">
        <v>5</v>
      </c>
      <c r="E4" s="60">
        <v>14</v>
      </c>
      <c r="F4" s="60">
        <v>5</v>
      </c>
      <c r="G4" s="60">
        <v>4</v>
      </c>
      <c r="H4" s="60">
        <v>5</v>
      </c>
      <c r="I4" s="60">
        <v>14</v>
      </c>
      <c r="J4" s="60">
        <v>5</v>
      </c>
    </row>
    <row r="5" spans="1:10" s="449" customFormat="1" ht="15" thickBot="1">
      <c r="A5" s="448" t="s">
        <v>9</v>
      </c>
      <c r="B5" s="60">
        <v>41</v>
      </c>
      <c r="C5" s="50">
        <f>SUM(C4)</f>
        <v>4</v>
      </c>
      <c r="D5" s="50">
        <f t="shared" ref="D5:J5" si="0">SUM(D4)</f>
        <v>5</v>
      </c>
      <c r="E5" s="50">
        <f t="shared" si="0"/>
        <v>14</v>
      </c>
      <c r="F5" s="50">
        <f t="shared" si="0"/>
        <v>5</v>
      </c>
      <c r="G5" s="50">
        <f t="shared" si="0"/>
        <v>4</v>
      </c>
      <c r="H5" s="50">
        <f t="shared" si="0"/>
        <v>5</v>
      </c>
      <c r="I5" s="50">
        <f t="shared" si="0"/>
        <v>14</v>
      </c>
      <c r="J5" s="50">
        <f t="shared" si="0"/>
        <v>5</v>
      </c>
    </row>
    <row r="6" spans="1:10" ht="15" hidden="1" thickBot="1">
      <c r="A6" s="2" t="s">
        <v>10</v>
      </c>
      <c r="B6" s="3"/>
      <c r="C6" s="5"/>
      <c r="D6" s="5"/>
      <c r="E6" s="5"/>
      <c r="F6" s="5"/>
      <c r="G6" s="5"/>
      <c r="H6" s="5"/>
      <c r="I6" s="5"/>
      <c r="J6" s="5"/>
    </row>
    <row r="7" spans="1:10" ht="15" hidden="1" thickBot="1">
      <c r="A7" s="2" t="s">
        <v>11</v>
      </c>
      <c r="B7" s="3"/>
      <c r="C7" s="5"/>
      <c r="D7" s="5"/>
      <c r="E7" s="5"/>
      <c r="F7" s="5"/>
      <c r="G7" s="5"/>
      <c r="H7" s="5"/>
      <c r="I7" s="5"/>
      <c r="J7" s="5"/>
    </row>
    <row r="8" spans="1:10" ht="15" hidden="1" thickBot="1">
      <c r="A8" s="2" t="s">
        <v>12</v>
      </c>
      <c r="B8" s="3"/>
      <c r="C8" s="5"/>
      <c r="D8" s="5"/>
      <c r="E8" s="5"/>
      <c r="F8" s="5"/>
      <c r="G8" s="5"/>
      <c r="H8" s="5"/>
      <c r="I8" s="5"/>
      <c r="J8" s="5"/>
    </row>
    <row r="9" spans="1:10" ht="15" hidden="1" thickBot="1">
      <c r="A9" s="2" t="s">
        <v>13</v>
      </c>
      <c r="B9" s="3"/>
      <c r="C9" s="5"/>
      <c r="D9" s="5"/>
      <c r="E9" s="5"/>
      <c r="F9" s="5"/>
      <c r="G9" s="5"/>
      <c r="H9" s="5"/>
      <c r="I9" s="5"/>
      <c r="J9" s="5"/>
    </row>
    <row r="10" spans="1:10" ht="15" hidden="1" thickBot="1">
      <c r="A10" s="2" t="s">
        <v>14</v>
      </c>
      <c r="B10" s="3"/>
      <c r="C10" s="5"/>
      <c r="D10" s="5"/>
      <c r="E10" s="5"/>
      <c r="F10" s="5"/>
      <c r="G10" s="5"/>
      <c r="H10" s="5"/>
      <c r="I10" s="5"/>
      <c r="J10" s="5"/>
    </row>
  </sheetData>
  <mergeCells count="7">
    <mergeCell ref="A1:J1"/>
    <mergeCell ref="A2:A3"/>
    <mergeCell ref="B2:B3"/>
    <mergeCell ref="C2:D2"/>
    <mergeCell ref="E2:F2"/>
    <mergeCell ref="G2:H2"/>
    <mergeCell ref="I2:J2"/>
  </mergeCells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view="pageBreakPreview" zoomScale="80" zoomScaleNormal="100" zoomScaleSheetLayoutView="80" workbookViewId="0">
      <selection activeCell="I46" sqref="I46:I64"/>
    </sheetView>
  </sheetViews>
  <sheetFormatPr defaultRowHeight="14.4"/>
  <cols>
    <col min="1" max="1" width="35.44140625" customWidth="1"/>
    <col min="2" max="2" width="16.6640625" customWidth="1"/>
    <col min="3" max="3" width="15.88671875" customWidth="1"/>
    <col min="4" max="4" width="16.109375" customWidth="1"/>
    <col min="5" max="5" width="17.109375" customWidth="1"/>
    <col min="6" max="6" width="16.5546875" customWidth="1"/>
  </cols>
  <sheetData>
    <row r="1" spans="1:7" ht="64.95" customHeight="1" thickBot="1">
      <c r="A1" s="528" t="s">
        <v>525</v>
      </c>
      <c r="B1" s="528"/>
      <c r="C1" s="528"/>
      <c r="D1" s="528"/>
      <c r="E1" s="528"/>
      <c r="F1" s="528"/>
    </row>
    <row r="2" spans="1:7" ht="91.8" thickBot="1">
      <c r="A2" s="6" t="s">
        <v>0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</row>
    <row r="3" spans="1:7" ht="15" thickBot="1">
      <c r="A3" s="8">
        <v>1</v>
      </c>
      <c r="B3" s="9">
        <v>2</v>
      </c>
      <c r="C3" s="9">
        <v>3</v>
      </c>
      <c r="D3" s="9">
        <v>4</v>
      </c>
      <c r="E3" s="9">
        <v>5</v>
      </c>
      <c r="F3" s="9">
        <v>6</v>
      </c>
    </row>
    <row r="4" spans="1:7" ht="36" customHeight="1" thickBot="1">
      <c r="A4" s="10" t="s">
        <v>20</v>
      </c>
      <c r="B4" s="27">
        <v>0</v>
      </c>
      <c r="C4" s="27">
        <v>0</v>
      </c>
      <c r="D4" s="27">
        <v>0</v>
      </c>
      <c r="E4" s="27">
        <v>0</v>
      </c>
      <c r="F4" s="27">
        <v>0</v>
      </c>
    </row>
    <row r="5" spans="1:7" s="28" customFormat="1" ht="36.6" thickBot="1">
      <c r="A5" s="10" t="s">
        <v>21</v>
      </c>
      <c r="B5" s="27">
        <v>10000</v>
      </c>
      <c r="C5" s="27">
        <v>10000</v>
      </c>
      <c r="D5" s="27">
        <v>10000</v>
      </c>
      <c r="E5" s="27">
        <v>10000</v>
      </c>
      <c r="F5" s="27">
        <v>10000</v>
      </c>
    </row>
    <row r="7" spans="1:7">
      <c r="G7" s="29">
        <v>1242</v>
      </c>
    </row>
    <row r="8" spans="1:7">
      <c r="G8" s="29">
        <v>5781</v>
      </c>
    </row>
    <row r="9" spans="1:7">
      <c r="G9" s="29">
        <v>105</v>
      </c>
    </row>
    <row r="10" spans="1:7">
      <c r="G10" s="29">
        <v>1244</v>
      </c>
    </row>
    <row r="11" spans="1:7">
      <c r="G11" s="29">
        <f>SUM(G7:G10)</f>
        <v>8372</v>
      </c>
    </row>
    <row r="12" spans="1:7">
      <c r="G12" s="29"/>
    </row>
  </sheetData>
  <mergeCells count="1">
    <mergeCell ref="A1:F1"/>
  </mergeCells>
  <pageMargins left="0.7" right="0.7" top="0.75" bottom="0.75" header="0.3" footer="0.3"/>
  <pageSetup paperSize="9" scale="74" orientation="portrait" verticalDpi="4294967294" r:id="rId1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26"/>
  <sheetViews>
    <sheetView view="pageBreakPreview" topLeftCell="A7" zoomScale="90" zoomScaleNormal="100" zoomScaleSheetLayoutView="90" workbookViewId="0">
      <selection activeCell="I46" sqref="I46:I64"/>
    </sheetView>
  </sheetViews>
  <sheetFormatPr defaultRowHeight="14.4"/>
  <cols>
    <col min="1" max="1" width="17.5546875" customWidth="1"/>
    <col min="16" max="16" width="10.109375" customWidth="1"/>
    <col min="17" max="17" width="10.109375" bestFit="1" customWidth="1"/>
    <col min="20" max="20" width="10.109375" bestFit="1" customWidth="1"/>
  </cols>
  <sheetData>
    <row r="1" spans="1:20" ht="15" thickBot="1">
      <c r="A1" s="523" t="s">
        <v>532</v>
      </c>
      <c r="B1" s="523"/>
      <c r="C1" s="523"/>
      <c r="D1" s="523"/>
      <c r="E1" s="523"/>
      <c r="F1" s="523"/>
      <c r="G1" s="523"/>
      <c r="H1" s="523"/>
      <c r="I1" s="531"/>
      <c r="J1" s="531"/>
      <c r="K1" s="523"/>
      <c r="L1" s="523"/>
      <c r="M1" s="523"/>
      <c r="N1" s="523"/>
      <c r="O1" s="523"/>
      <c r="P1" s="523"/>
      <c r="Q1" s="523"/>
      <c r="R1" s="523"/>
      <c r="S1" s="523"/>
      <c r="T1" s="523"/>
    </row>
    <row r="2" spans="1:20" ht="103.2" thickBot="1">
      <c r="A2" s="532" t="s">
        <v>43</v>
      </c>
      <c r="B2" s="30" t="s">
        <v>44</v>
      </c>
      <c r="C2" s="529" t="s">
        <v>46</v>
      </c>
      <c r="D2" s="530"/>
      <c r="E2" s="529" t="s">
        <v>47</v>
      </c>
      <c r="F2" s="530"/>
      <c r="G2" s="529" t="s">
        <v>48</v>
      </c>
      <c r="H2" s="534"/>
      <c r="I2" s="441" t="s">
        <v>514</v>
      </c>
      <c r="J2" s="441" t="s">
        <v>520</v>
      </c>
      <c r="K2" s="535" t="s">
        <v>49</v>
      </c>
      <c r="L2" s="530"/>
      <c r="M2" s="529" t="s">
        <v>50</v>
      </c>
      <c r="N2" s="530"/>
      <c r="O2" s="441" t="s">
        <v>517</v>
      </c>
      <c r="P2" s="30" t="s">
        <v>521</v>
      </c>
      <c r="Q2" s="30" t="s">
        <v>51</v>
      </c>
      <c r="R2" s="529" t="s">
        <v>53</v>
      </c>
      <c r="S2" s="530"/>
      <c r="T2" s="30" t="s">
        <v>54</v>
      </c>
    </row>
    <row r="3" spans="1:20" ht="36.6" thickBot="1">
      <c r="A3" s="533"/>
      <c r="B3" s="31" t="s">
        <v>45</v>
      </c>
      <c r="C3" s="33" t="s">
        <v>56</v>
      </c>
      <c r="D3" s="33" t="s">
        <v>57</v>
      </c>
      <c r="E3" s="33" t="s">
        <v>58</v>
      </c>
      <c r="F3" s="33" t="s">
        <v>57</v>
      </c>
      <c r="G3" s="33" t="s">
        <v>58</v>
      </c>
      <c r="H3" s="33" t="s">
        <v>57</v>
      </c>
      <c r="I3" s="33" t="s">
        <v>57</v>
      </c>
      <c r="J3" s="33" t="s">
        <v>57</v>
      </c>
      <c r="K3" s="33" t="s">
        <v>56</v>
      </c>
      <c r="L3" s="33" t="s">
        <v>57</v>
      </c>
      <c r="M3" s="33" t="s">
        <v>58</v>
      </c>
      <c r="N3" s="33" t="s">
        <v>57</v>
      </c>
      <c r="O3" s="33" t="s">
        <v>58</v>
      </c>
      <c r="P3" s="33" t="s">
        <v>57</v>
      </c>
      <c r="Q3" s="32" t="s">
        <v>52</v>
      </c>
      <c r="R3" s="33" t="s">
        <v>58</v>
      </c>
      <c r="S3" s="33" t="s">
        <v>57</v>
      </c>
      <c r="T3" s="32" t="s">
        <v>55</v>
      </c>
    </row>
    <row r="4" spans="1:20" ht="15" thickBot="1">
      <c r="A4" s="34">
        <v>1</v>
      </c>
      <c r="B4" s="33">
        <v>2</v>
      </c>
      <c r="C4" s="33">
        <v>3</v>
      </c>
      <c r="D4" s="33">
        <v>4</v>
      </c>
      <c r="E4" s="33">
        <v>5</v>
      </c>
      <c r="F4" s="33">
        <v>6</v>
      </c>
      <c r="G4" s="33">
        <v>7</v>
      </c>
      <c r="H4" s="33">
        <v>8</v>
      </c>
      <c r="I4" s="442" t="s">
        <v>515</v>
      </c>
      <c r="J4" s="443" t="s">
        <v>516</v>
      </c>
      <c r="K4" s="33">
        <v>9</v>
      </c>
      <c r="L4" s="33">
        <v>10</v>
      </c>
      <c r="M4" s="33">
        <v>11</v>
      </c>
      <c r="N4" s="33">
        <v>12</v>
      </c>
      <c r="O4" s="443" t="s">
        <v>518</v>
      </c>
      <c r="P4" s="443" t="s">
        <v>519</v>
      </c>
      <c r="Q4" s="33">
        <v>13</v>
      </c>
      <c r="R4" s="33">
        <v>14</v>
      </c>
      <c r="S4" s="33">
        <v>15</v>
      </c>
      <c r="T4" s="33">
        <v>16</v>
      </c>
    </row>
    <row r="5" spans="1:20" ht="36.6" thickBot="1">
      <c r="A5" s="10" t="s">
        <v>59</v>
      </c>
      <c r="B5" s="5"/>
      <c r="C5" s="5"/>
      <c r="D5" s="356"/>
      <c r="E5" s="5"/>
      <c r="F5" s="356"/>
      <c r="G5" s="5"/>
      <c r="H5" s="356"/>
      <c r="I5" s="444"/>
      <c r="J5" s="356"/>
      <c r="K5" s="5"/>
      <c r="L5" s="356"/>
      <c r="M5" s="5"/>
      <c r="N5" s="356"/>
      <c r="O5" s="444"/>
      <c r="P5" s="356"/>
      <c r="Q5" s="5"/>
      <c r="R5" s="5"/>
      <c r="S5" s="356"/>
      <c r="T5" s="5"/>
    </row>
    <row r="6" spans="1:20" ht="59.25" customHeight="1" thickBot="1">
      <c r="A6" s="38" t="s">
        <v>69</v>
      </c>
      <c r="B6" s="50">
        <v>21</v>
      </c>
      <c r="C6" s="5">
        <v>4</v>
      </c>
      <c r="D6" s="357">
        <f>24+C6</f>
        <v>28</v>
      </c>
      <c r="E6" s="5">
        <v>4</v>
      </c>
      <c r="F6" s="357">
        <f>24+E6</f>
        <v>28</v>
      </c>
      <c r="G6" s="5">
        <v>4</v>
      </c>
      <c r="H6" s="357">
        <f>24+G6</f>
        <v>28</v>
      </c>
      <c r="I6" s="445">
        <v>0</v>
      </c>
      <c r="J6" s="357">
        <f>H6</f>
        <v>28</v>
      </c>
      <c r="K6" s="50">
        <v>2</v>
      </c>
      <c r="L6" s="357">
        <f>24+K6</f>
        <v>26</v>
      </c>
      <c r="M6" s="50">
        <v>2</v>
      </c>
      <c r="N6" s="357">
        <f>24+M6</f>
        <v>26</v>
      </c>
      <c r="O6" s="445">
        <v>4</v>
      </c>
      <c r="P6" s="357">
        <f>N6-O6</f>
        <v>22</v>
      </c>
      <c r="Q6" s="351">
        <f>N6/B6%/100</f>
        <v>1.2380952380952381</v>
      </c>
      <c r="R6" s="50">
        <v>5</v>
      </c>
      <c r="S6" s="357">
        <f>16+R6</f>
        <v>21</v>
      </c>
      <c r="T6" s="51">
        <f>S6/B6*100</f>
        <v>100</v>
      </c>
    </row>
    <row r="7" spans="1:20" ht="60.6" thickBot="1">
      <c r="A7" s="10" t="s">
        <v>70</v>
      </c>
      <c r="B7" s="50">
        <v>1</v>
      </c>
      <c r="C7" s="5">
        <v>0</v>
      </c>
      <c r="D7" s="357">
        <f>5</f>
        <v>5</v>
      </c>
      <c r="E7" s="5">
        <v>0</v>
      </c>
      <c r="F7" s="357">
        <f>2</f>
        <v>2</v>
      </c>
      <c r="G7" s="5">
        <v>0</v>
      </c>
      <c r="H7" s="357">
        <f>2</f>
        <v>2</v>
      </c>
      <c r="I7" s="445">
        <v>0</v>
      </c>
      <c r="J7" s="357">
        <v>2</v>
      </c>
      <c r="K7" s="5">
        <v>0</v>
      </c>
      <c r="L7" s="357">
        <f>2</f>
        <v>2</v>
      </c>
      <c r="M7" s="5">
        <v>0</v>
      </c>
      <c r="N7" s="357">
        <v>2</v>
      </c>
      <c r="O7" s="445">
        <v>1</v>
      </c>
      <c r="P7" s="357">
        <v>1</v>
      </c>
      <c r="Q7" s="351">
        <f>N7/B7%/100</f>
        <v>2</v>
      </c>
      <c r="R7" s="50">
        <v>1</v>
      </c>
      <c r="S7" s="357">
        <f>R7</f>
        <v>1</v>
      </c>
      <c r="T7" s="51">
        <f>S7/B7</f>
        <v>1</v>
      </c>
    </row>
    <row r="8" spans="1:20" ht="67.95" customHeight="1" thickBot="1">
      <c r="A8" s="10" t="s">
        <v>71</v>
      </c>
      <c r="B8" s="50">
        <v>14</v>
      </c>
      <c r="C8" s="5">
        <v>1</v>
      </c>
      <c r="D8" s="357">
        <f>18+C8</f>
        <v>19</v>
      </c>
      <c r="E8" s="5">
        <v>1</v>
      </c>
      <c r="F8" s="357">
        <f>17+E8</f>
        <v>18</v>
      </c>
      <c r="G8" s="5">
        <v>1</v>
      </c>
      <c r="H8" s="357">
        <f>17+G8</f>
        <v>18</v>
      </c>
      <c r="I8" s="445">
        <v>2</v>
      </c>
      <c r="J8" s="357">
        <f>H8-I8</f>
        <v>16</v>
      </c>
      <c r="K8" s="5">
        <v>4</v>
      </c>
      <c r="L8" s="357">
        <f>12+K8</f>
        <v>16</v>
      </c>
      <c r="M8" s="5">
        <v>4</v>
      </c>
      <c r="N8" s="440">
        <f>11+M8</f>
        <v>15</v>
      </c>
      <c r="O8" s="446">
        <v>0</v>
      </c>
      <c r="P8" s="440">
        <f>N8-O8</f>
        <v>15</v>
      </c>
      <c r="Q8" s="351">
        <f>N8/B8%/100</f>
        <v>1.0714285714285714</v>
      </c>
      <c r="R8" s="50">
        <v>5</v>
      </c>
      <c r="S8" s="357">
        <f>7+R8</f>
        <v>12</v>
      </c>
      <c r="T8" s="51">
        <f>S8/B8*100</f>
        <v>85.714285714285708</v>
      </c>
    </row>
    <row r="9" spans="1:20" ht="96.6" thickBot="1">
      <c r="A9" s="10" t="s">
        <v>72</v>
      </c>
      <c r="B9" s="50">
        <v>10</v>
      </c>
      <c r="C9" s="5">
        <v>3</v>
      </c>
      <c r="D9" s="357">
        <f>11+C9</f>
        <v>14</v>
      </c>
      <c r="E9" s="5">
        <v>2</v>
      </c>
      <c r="F9" s="357">
        <f>11+E9</f>
        <v>13</v>
      </c>
      <c r="G9" s="5">
        <v>2</v>
      </c>
      <c r="H9" s="357">
        <f>11+G9</f>
        <v>13</v>
      </c>
      <c r="I9" s="445">
        <v>0</v>
      </c>
      <c r="J9" s="357">
        <f>H9</f>
        <v>13</v>
      </c>
      <c r="K9" s="5">
        <v>2</v>
      </c>
      <c r="L9" s="357">
        <f>10+K9</f>
        <v>12</v>
      </c>
      <c r="M9" s="5">
        <v>1</v>
      </c>
      <c r="N9" s="357">
        <f>10+M9</f>
        <v>11</v>
      </c>
      <c r="O9" s="445">
        <v>0</v>
      </c>
      <c r="P9" s="357">
        <f>N9</f>
        <v>11</v>
      </c>
      <c r="Q9" s="351">
        <f>N9/B9%/100</f>
        <v>1.1000000000000001</v>
      </c>
      <c r="R9" s="50">
        <v>4</v>
      </c>
      <c r="S9" s="357">
        <f>6+R9</f>
        <v>10</v>
      </c>
      <c r="T9" s="51">
        <f>S9/B9*100</f>
        <v>100</v>
      </c>
    </row>
    <row r="10" spans="1:20" ht="102" customHeight="1" thickBot="1">
      <c r="A10" s="10" t="s">
        <v>73</v>
      </c>
      <c r="B10" s="50">
        <v>8</v>
      </c>
      <c r="C10" s="5">
        <v>0</v>
      </c>
      <c r="D10" s="357">
        <f>8</f>
        <v>8</v>
      </c>
      <c r="E10" s="5">
        <v>0</v>
      </c>
      <c r="F10" s="357">
        <f>8</f>
        <v>8</v>
      </c>
      <c r="G10" s="5">
        <v>0</v>
      </c>
      <c r="H10" s="357">
        <f>8</f>
        <v>8</v>
      </c>
      <c r="I10" s="445">
        <v>0</v>
      </c>
      <c r="J10" s="357">
        <v>8</v>
      </c>
      <c r="K10" s="5">
        <v>1</v>
      </c>
      <c r="L10" s="357">
        <f>7+K10</f>
        <v>8</v>
      </c>
      <c r="M10" s="5">
        <v>1</v>
      </c>
      <c r="N10" s="357">
        <f>7+M10</f>
        <v>8</v>
      </c>
      <c r="O10" s="445">
        <v>0</v>
      </c>
      <c r="P10" s="357">
        <v>5</v>
      </c>
      <c r="Q10" s="351">
        <f>N10/B10%/100</f>
        <v>1</v>
      </c>
      <c r="R10" s="50">
        <v>3</v>
      </c>
      <c r="S10" s="357">
        <f>2+R10</f>
        <v>5</v>
      </c>
      <c r="T10" s="51">
        <f>S10/B10*100</f>
        <v>62.5</v>
      </c>
    </row>
    <row r="11" spans="1:20" ht="15" hidden="1" customHeight="1" thickBot="1">
      <c r="A11" s="10"/>
      <c r="B11" s="5"/>
      <c r="C11" s="5"/>
      <c r="D11" s="5"/>
      <c r="E11" s="5"/>
      <c r="F11" s="5"/>
      <c r="G11" s="5"/>
      <c r="H11" s="5"/>
      <c r="I11" s="444"/>
      <c r="J11" s="5"/>
      <c r="K11" s="5"/>
      <c r="L11" s="5"/>
      <c r="M11" s="5"/>
      <c r="N11" s="356"/>
      <c r="O11" s="444"/>
      <c r="P11" s="356"/>
      <c r="Q11" s="5"/>
      <c r="R11" s="5"/>
      <c r="S11" s="356"/>
      <c r="T11" s="5"/>
    </row>
    <row r="12" spans="1:20" ht="84.6" hidden="1" customHeight="1" thickBot="1">
      <c r="A12" s="10" t="s">
        <v>61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356"/>
      <c r="O12" s="356"/>
      <c r="P12" s="356"/>
      <c r="Q12" s="5"/>
      <c r="R12" s="5"/>
      <c r="S12" s="356"/>
      <c r="T12" s="5"/>
    </row>
    <row r="13" spans="1:20" ht="15" hidden="1" customHeight="1" thickBot="1">
      <c r="A13" s="10" t="s">
        <v>60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356"/>
      <c r="O13" s="356"/>
      <c r="P13" s="356"/>
      <c r="Q13" s="5"/>
      <c r="R13" s="5"/>
      <c r="S13" s="356"/>
      <c r="T13" s="5"/>
    </row>
    <row r="14" spans="1:20" ht="96.6" hidden="1" customHeight="1" thickBot="1">
      <c r="A14" s="10" t="s">
        <v>62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356"/>
      <c r="O14" s="356"/>
      <c r="P14" s="356"/>
      <c r="Q14" s="5"/>
      <c r="R14" s="5"/>
      <c r="S14" s="356"/>
      <c r="T14" s="5"/>
    </row>
    <row r="15" spans="1:20" ht="15" hidden="1" customHeight="1" thickBot="1">
      <c r="A15" s="10" t="s">
        <v>60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356"/>
      <c r="T15" s="5"/>
    </row>
    <row r="16" spans="1:20" ht="24.6" hidden="1" thickBot="1">
      <c r="A16" s="10" t="s">
        <v>63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356"/>
      <c r="T16" s="5"/>
    </row>
    <row r="17" spans="1:20" ht="15" hidden="1" thickBot="1">
      <c r="A17" s="10" t="s">
        <v>60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356"/>
      <c r="T17" s="5"/>
    </row>
    <row r="18" spans="1:20" ht="24.6" hidden="1" thickBot="1">
      <c r="A18" s="10" t="s">
        <v>64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356"/>
      <c r="T18" s="5"/>
    </row>
    <row r="19" spans="1:20" ht="15" hidden="1" thickBot="1">
      <c r="A19" s="10" t="s">
        <v>60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356"/>
      <c r="T19" s="5"/>
    </row>
    <row r="20" spans="1:20" ht="24.6" hidden="1" thickBot="1">
      <c r="A20" s="10" t="s">
        <v>65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356"/>
      <c r="T20" s="5"/>
    </row>
    <row r="21" spans="1:20" ht="15" hidden="1" thickBot="1">
      <c r="A21" s="10" t="s">
        <v>60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356"/>
      <c r="T21" s="5"/>
    </row>
    <row r="22" spans="1:20" ht="24.6" hidden="1" thickBot="1">
      <c r="A22" s="10" t="s">
        <v>66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356"/>
      <c r="T22" s="5"/>
    </row>
    <row r="23" spans="1:20" ht="15" hidden="1" thickBot="1">
      <c r="A23" s="10" t="s">
        <v>60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356"/>
      <c r="T23" s="5"/>
    </row>
    <row r="24" spans="1:20" ht="24.6" hidden="1" thickBot="1">
      <c r="A24" s="10" t="s">
        <v>67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356"/>
      <c r="T24" s="5"/>
    </row>
    <row r="25" spans="1:20" ht="15" hidden="1" thickBot="1">
      <c r="A25" s="10" t="s">
        <v>60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15" thickBot="1">
      <c r="A26" s="452" t="s">
        <v>68</v>
      </c>
      <c r="B26" s="453">
        <f t="shared" ref="B26:L26" si="0">SUM(B6:B25)</f>
        <v>54</v>
      </c>
      <c r="C26" s="453">
        <f t="shared" si="0"/>
        <v>8</v>
      </c>
      <c r="D26" s="453">
        <f t="shared" si="0"/>
        <v>74</v>
      </c>
      <c r="E26" s="453">
        <f t="shared" si="0"/>
        <v>7</v>
      </c>
      <c r="F26" s="453">
        <f t="shared" si="0"/>
        <v>69</v>
      </c>
      <c r="G26" s="453">
        <f t="shared" si="0"/>
        <v>7</v>
      </c>
      <c r="H26" s="453">
        <f t="shared" si="0"/>
        <v>69</v>
      </c>
      <c r="I26" s="453">
        <f>SUM(I6:I25)</f>
        <v>2</v>
      </c>
      <c r="J26" s="453">
        <f>SUM(J6:J25)</f>
        <v>67</v>
      </c>
      <c r="K26" s="453">
        <f>SUM(K6:K25)</f>
        <v>9</v>
      </c>
      <c r="L26" s="453">
        <f t="shared" si="0"/>
        <v>64</v>
      </c>
      <c r="M26" s="454">
        <f>SUM(M6:M25)</f>
        <v>8</v>
      </c>
      <c r="N26" s="454">
        <f>SUM(N6:N25)</f>
        <v>62</v>
      </c>
      <c r="O26" s="454">
        <f>SUM(O6:O25)</f>
        <v>5</v>
      </c>
      <c r="P26" s="454">
        <f>SUM(P6:P25)</f>
        <v>54</v>
      </c>
      <c r="Q26" s="455"/>
      <c r="R26" s="454">
        <f>SUM(R6:R25)</f>
        <v>18</v>
      </c>
      <c r="S26" s="454">
        <f>SUM(S6:S25)</f>
        <v>49</v>
      </c>
      <c r="T26" s="456">
        <f>S26/B26*100</f>
        <v>90.740740740740748</v>
      </c>
    </row>
  </sheetData>
  <mergeCells count="8">
    <mergeCell ref="R2:S2"/>
    <mergeCell ref="A1:T1"/>
    <mergeCell ref="A2:A3"/>
    <mergeCell ref="C2:D2"/>
    <mergeCell ref="E2:F2"/>
    <mergeCell ref="G2:H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E4" sqref="E4"/>
    </sheetView>
  </sheetViews>
  <sheetFormatPr defaultRowHeight="14.4"/>
  <cols>
    <col min="2" max="2" width="33.109375" customWidth="1"/>
  </cols>
  <sheetData>
    <row r="1" spans="1:10" ht="31.5" customHeight="1" thickBot="1">
      <c r="A1" s="572"/>
      <c r="B1" s="574" t="s">
        <v>22</v>
      </c>
      <c r="C1" s="538" t="s">
        <v>23</v>
      </c>
      <c r="D1" s="539"/>
      <c r="E1" s="539" t="s">
        <v>373</v>
      </c>
      <c r="F1" s="540"/>
      <c r="G1" s="539" t="s">
        <v>374</v>
      </c>
      <c r="H1" s="540"/>
      <c r="I1" s="236"/>
    </row>
    <row r="2" spans="1:10" ht="16.2" thickBot="1">
      <c r="A2" s="573"/>
      <c r="B2" s="575"/>
      <c r="C2" s="237" t="s">
        <v>24</v>
      </c>
      <c r="D2" s="237" t="s">
        <v>25</v>
      </c>
      <c r="E2" s="267" t="s">
        <v>24</v>
      </c>
      <c r="F2" s="237" t="s">
        <v>25</v>
      </c>
      <c r="G2" s="576"/>
      <c r="H2" s="577"/>
      <c r="I2" s="237" t="s">
        <v>25</v>
      </c>
      <c r="J2" s="235"/>
    </row>
    <row r="3" spans="1:10" ht="58.5" customHeight="1" thickTop="1" thickBot="1">
      <c r="A3" s="578" t="s">
        <v>26</v>
      </c>
      <c r="B3" s="579"/>
      <c r="C3" s="238">
        <v>1845500</v>
      </c>
      <c r="D3" s="239">
        <v>49</v>
      </c>
      <c r="E3" s="266">
        <v>1565725.47</v>
      </c>
      <c r="F3" s="240">
        <v>42</v>
      </c>
      <c r="G3" s="580">
        <v>1413179.75</v>
      </c>
      <c r="H3" s="581"/>
      <c r="I3" s="241">
        <v>38</v>
      </c>
      <c r="J3" s="235"/>
    </row>
    <row r="4" spans="1:10" ht="57.75" customHeight="1">
      <c r="A4" s="562" t="s">
        <v>27</v>
      </c>
      <c r="B4" s="242" t="s">
        <v>371</v>
      </c>
      <c r="C4" s="564">
        <v>1060000</v>
      </c>
      <c r="D4" s="566">
        <v>28</v>
      </c>
      <c r="E4" s="261">
        <f>'Таблица-8'!F5</f>
        <v>2540009.3789999997</v>
      </c>
      <c r="F4" s="243">
        <v>25</v>
      </c>
      <c r="G4" s="568">
        <v>787861.4</v>
      </c>
      <c r="H4" s="569"/>
      <c r="I4" s="243">
        <v>21</v>
      </c>
      <c r="J4" s="235"/>
    </row>
    <row r="5" spans="1:10" ht="16.2" thickBot="1">
      <c r="A5" s="563"/>
      <c r="B5" s="244" t="s">
        <v>29</v>
      </c>
      <c r="C5" s="565"/>
      <c r="D5" s="567"/>
      <c r="E5" s="260"/>
      <c r="F5" s="245"/>
      <c r="G5" s="570"/>
      <c r="H5" s="571"/>
      <c r="I5" s="246"/>
      <c r="J5" s="235"/>
    </row>
    <row r="6" spans="1:10" ht="48" customHeight="1">
      <c r="A6" s="555" t="s">
        <v>30</v>
      </c>
      <c r="B6" s="242" t="s">
        <v>31</v>
      </c>
      <c r="C6" s="558">
        <v>785500</v>
      </c>
      <c r="D6" s="559">
        <v>21</v>
      </c>
      <c r="E6" s="262">
        <v>632584.21</v>
      </c>
      <c r="F6" s="248">
        <v>17</v>
      </c>
      <c r="G6" s="560">
        <v>625318.35</v>
      </c>
      <c r="H6" s="561"/>
      <c r="I6" s="247">
        <v>17</v>
      </c>
      <c r="J6" s="235"/>
    </row>
    <row r="7" spans="1:10" ht="16.2" thickBot="1">
      <c r="A7" s="542"/>
      <c r="B7" s="249" t="s">
        <v>32</v>
      </c>
      <c r="C7" s="557"/>
      <c r="D7" s="546"/>
      <c r="E7" s="259"/>
      <c r="F7" s="250"/>
      <c r="G7" s="549"/>
      <c r="H7" s="550"/>
      <c r="I7" s="250"/>
      <c r="J7" s="235"/>
    </row>
    <row r="8" spans="1:10" ht="49.5" customHeight="1" thickBot="1">
      <c r="A8" s="551" t="s">
        <v>33</v>
      </c>
      <c r="B8" s="552"/>
      <c r="C8" s="251">
        <v>1886500</v>
      </c>
      <c r="D8" s="252">
        <v>51</v>
      </c>
      <c r="E8" s="263">
        <v>1297181.1000000001</v>
      </c>
      <c r="F8" s="253">
        <v>35</v>
      </c>
      <c r="G8" s="553">
        <v>1297181.1000000001</v>
      </c>
      <c r="H8" s="554"/>
      <c r="I8" s="253">
        <v>35</v>
      </c>
      <c r="J8" s="235"/>
    </row>
    <row r="9" spans="1:10" ht="34.200000000000003">
      <c r="A9" s="555" t="s">
        <v>35</v>
      </c>
      <c r="B9" s="242" t="s">
        <v>36</v>
      </c>
      <c r="C9" s="556">
        <v>1736500</v>
      </c>
      <c r="D9" s="545">
        <v>47</v>
      </c>
      <c r="E9" s="264">
        <v>1149596.6100000001</v>
      </c>
      <c r="F9" s="247">
        <v>31</v>
      </c>
      <c r="G9" s="547">
        <v>1149596.6100000001</v>
      </c>
      <c r="H9" s="548"/>
      <c r="I9" s="247">
        <v>31</v>
      </c>
      <c r="J9" s="235"/>
    </row>
    <row r="10" spans="1:10" ht="16.2" thickBot="1">
      <c r="A10" s="542"/>
      <c r="B10" s="249" t="s">
        <v>37</v>
      </c>
      <c r="C10" s="557"/>
      <c r="D10" s="546"/>
      <c r="E10" s="259"/>
      <c r="F10" s="250"/>
      <c r="G10" s="549"/>
      <c r="H10" s="550"/>
      <c r="I10" s="250"/>
      <c r="J10" s="235"/>
    </row>
    <row r="11" spans="1:10" ht="144" customHeight="1">
      <c r="A11" s="541" t="s">
        <v>38</v>
      </c>
      <c r="B11" s="242" t="s">
        <v>39</v>
      </c>
      <c r="C11" s="543">
        <v>150000</v>
      </c>
      <c r="D11" s="545">
        <v>4</v>
      </c>
      <c r="E11" s="264">
        <v>147584.49</v>
      </c>
      <c r="F11" s="247">
        <v>4</v>
      </c>
      <c r="G11" s="547">
        <v>147584.49</v>
      </c>
      <c r="H11" s="548"/>
      <c r="I11" s="247">
        <v>4</v>
      </c>
      <c r="J11" s="235"/>
    </row>
    <row r="12" spans="1:10" ht="16.2" thickBot="1">
      <c r="A12" s="542"/>
      <c r="B12" s="249" t="s">
        <v>40</v>
      </c>
      <c r="C12" s="544"/>
      <c r="D12" s="546"/>
      <c r="E12" s="259"/>
      <c r="F12" s="250"/>
      <c r="G12" s="549"/>
      <c r="H12" s="550"/>
      <c r="I12" s="250"/>
      <c r="J12" s="235"/>
    </row>
    <row r="13" spans="1:10" ht="48.75" customHeight="1" thickBot="1">
      <c r="A13" s="254"/>
      <c r="B13" s="255" t="s">
        <v>41</v>
      </c>
      <c r="C13" s="256">
        <v>3732000</v>
      </c>
      <c r="D13" s="257">
        <v>100</v>
      </c>
      <c r="E13" s="265">
        <v>2862907</v>
      </c>
      <c r="F13" s="257">
        <v>77</v>
      </c>
      <c r="G13" s="536">
        <v>2710361</v>
      </c>
      <c r="H13" s="537"/>
      <c r="I13" s="257">
        <v>73</v>
      </c>
      <c r="J13" s="235"/>
    </row>
    <row r="14" spans="1:10" ht="15" thickTop="1"/>
    <row r="16" spans="1:10" ht="216">
      <c r="A16" s="258" t="s">
        <v>372</v>
      </c>
    </row>
  </sheetData>
  <mergeCells count="31">
    <mergeCell ref="A1:A2"/>
    <mergeCell ref="B1:B2"/>
    <mergeCell ref="G2:H2"/>
    <mergeCell ref="A3:B3"/>
    <mergeCell ref="G3:H3"/>
    <mergeCell ref="A4:A5"/>
    <mergeCell ref="C4:C5"/>
    <mergeCell ref="D4:D5"/>
    <mergeCell ref="G4:H4"/>
    <mergeCell ref="G5:H5"/>
    <mergeCell ref="A6:A7"/>
    <mergeCell ref="C6:C7"/>
    <mergeCell ref="D6:D7"/>
    <mergeCell ref="G6:H6"/>
    <mergeCell ref="G7:H7"/>
    <mergeCell ref="G13:H13"/>
    <mergeCell ref="C1:D1"/>
    <mergeCell ref="E1:F1"/>
    <mergeCell ref="G1:H1"/>
    <mergeCell ref="A11:A12"/>
    <mergeCell ref="C11:C12"/>
    <mergeCell ref="D11:D12"/>
    <mergeCell ref="G11:H11"/>
    <mergeCell ref="G12:H12"/>
    <mergeCell ref="A8:B8"/>
    <mergeCell ref="G8:H8"/>
    <mergeCell ref="A9:A10"/>
    <mergeCell ref="C9:C10"/>
    <mergeCell ref="D9:D10"/>
    <mergeCell ref="G9:H9"/>
    <mergeCell ref="G10:H10"/>
  </mergeCells>
  <hyperlinks>
    <hyperlink ref="G1" location="_ftn1" display="_ftn1"/>
    <hyperlink ref="A16" location="_ftnref1" display="_ftnref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4"/>
  <sheetViews>
    <sheetView view="pageBreakPreview" topLeftCell="A7" zoomScale="90" zoomScaleNormal="100" zoomScaleSheetLayoutView="90" workbookViewId="0">
      <selection activeCell="I46" sqref="I46:I64"/>
    </sheetView>
  </sheetViews>
  <sheetFormatPr defaultRowHeight="14.4"/>
  <cols>
    <col min="1" max="1" width="18.5546875" customWidth="1"/>
    <col min="2" max="2" width="15.109375" customWidth="1"/>
    <col min="3" max="3" width="13.33203125" customWidth="1"/>
    <col min="4" max="4" width="12.5546875" customWidth="1"/>
    <col min="5" max="5" width="12.44140625" customWidth="1"/>
    <col min="6" max="6" width="13.6640625" customWidth="1"/>
    <col min="7" max="7" width="12.44140625" customWidth="1"/>
    <col min="8" max="8" width="13.44140625" customWidth="1"/>
    <col min="9" max="9" width="12.6640625" customWidth="1"/>
    <col min="10" max="10" width="11.5546875" customWidth="1"/>
    <col min="11" max="11" width="10.6640625" customWidth="1"/>
  </cols>
  <sheetData>
    <row r="1" spans="1:11" ht="15" thickBot="1">
      <c r="A1" s="41" t="s">
        <v>533</v>
      </c>
    </row>
    <row r="2" spans="1:11" ht="57.6" thickBot="1">
      <c r="A2" s="37" t="s">
        <v>43</v>
      </c>
      <c r="B2" s="7" t="s">
        <v>74</v>
      </c>
      <c r="C2" s="7" t="s">
        <v>75</v>
      </c>
      <c r="D2" s="7" t="s">
        <v>76</v>
      </c>
      <c r="E2" s="7" t="s">
        <v>77</v>
      </c>
      <c r="F2" s="7" t="s">
        <v>78</v>
      </c>
      <c r="G2" s="7" t="s">
        <v>79</v>
      </c>
      <c r="H2" s="7" t="s">
        <v>80</v>
      </c>
      <c r="I2" s="7" t="s">
        <v>81</v>
      </c>
      <c r="J2" s="7" t="s">
        <v>82</v>
      </c>
      <c r="K2" s="39" t="s">
        <v>83</v>
      </c>
    </row>
    <row r="3" spans="1:11" ht="15" thickBot="1">
      <c r="A3" s="34">
        <v>1</v>
      </c>
      <c r="B3" s="33">
        <v>2</v>
      </c>
      <c r="C3" s="352">
        <v>3</v>
      </c>
      <c r="D3" s="33">
        <v>4</v>
      </c>
      <c r="E3" s="33">
        <v>5</v>
      </c>
      <c r="F3" s="352">
        <v>6</v>
      </c>
      <c r="G3" s="33">
        <v>7</v>
      </c>
      <c r="H3" s="352">
        <v>8</v>
      </c>
      <c r="I3" s="33">
        <v>9</v>
      </c>
      <c r="J3" s="33">
        <v>10</v>
      </c>
      <c r="K3" s="33">
        <v>11</v>
      </c>
    </row>
    <row r="4" spans="1:11" ht="36.6" thickBot="1">
      <c r="A4" s="10" t="s">
        <v>59</v>
      </c>
      <c r="B4" s="5"/>
      <c r="C4" s="353"/>
      <c r="D4" s="5"/>
      <c r="E4" s="5"/>
      <c r="F4" s="353"/>
      <c r="G4" s="5"/>
      <c r="H4" s="353"/>
      <c r="I4" s="5"/>
      <c r="J4" s="5"/>
      <c r="K4" s="5"/>
    </row>
    <row r="5" spans="1:11" ht="36.6" thickBot="1">
      <c r="A5" s="38" t="s">
        <v>69</v>
      </c>
      <c r="B5" s="51">
        <f>'Таблица-13'!D33+'Таблица-13'!D34+'Таблица-13'!D35+'Таблица-13'!D36</f>
        <v>251458.34</v>
      </c>
      <c r="C5" s="354">
        <f>'Таблица-13'!E33+'Таблица-13'!E34+'Таблица-13'!E35+'Таблица-13'!E36</f>
        <v>122767.17</v>
      </c>
      <c r="D5" s="51">
        <f>C5/B5*100</f>
        <v>48.822071282264886</v>
      </c>
      <c r="E5" s="51">
        <f>'Таблица-13'!G33+'Таблица-13'!G34+'Таблица-13'!G35+'Таблица-13'!G36</f>
        <v>251458.34</v>
      </c>
      <c r="F5" s="354">
        <f>'Таблица-13'!H33+'Таблица-13'!H34+'Таблица-13'!H35+'Таблица-13'!H36</f>
        <v>122767.17</v>
      </c>
      <c r="G5" s="51">
        <f>'Таблица-13'!K34+'Таблица-13'!K35</f>
        <v>43800</v>
      </c>
      <c r="H5" s="354">
        <f>'Таблица-13'!L34+'Таблица-13'!L35</f>
        <v>21900</v>
      </c>
      <c r="I5" s="51">
        <f>'Таблица-13'!M34+'Таблица-13'!M35</f>
        <v>43800</v>
      </c>
      <c r="J5" s="51">
        <f>'Таблица-13'!N34+'Таблица-13'!N35</f>
        <v>21900</v>
      </c>
      <c r="K5" s="50">
        <f>'Таблица-13'!O10+'Таблица-13'!O26+'Таблица-13'!O28+'Таблица-13'!O29+'Таблица-13'!O32</f>
        <v>235981.15999999997</v>
      </c>
    </row>
    <row r="6" spans="1:11" ht="60.6" thickBot="1">
      <c r="A6" s="10" t="s">
        <v>70</v>
      </c>
      <c r="B6" s="50">
        <v>0</v>
      </c>
      <c r="C6" s="355">
        <v>0</v>
      </c>
      <c r="D6" s="51">
        <v>0</v>
      </c>
      <c r="E6" s="50">
        <v>0</v>
      </c>
      <c r="F6" s="355">
        <v>0</v>
      </c>
      <c r="G6" s="50">
        <v>0</v>
      </c>
      <c r="H6" s="355">
        <v>0</v>
      </c>
      <c r="I6" s="51">
        <v>0</v>
      </c>
      <c r="J6" s="51">
        <v>0</v>
      </c>
      <c r="K6" s="51">
        <f>'Таблица-13'!O43</f>
        <v>25650</v>
      </c>
    </row>
    <row r="7" spans="1:11" ht="48.6" thickBot="1">
      <c r="A7" s="10" t="s">
        <v>71</v>
      </c>
      <c r="B7" s="391">
        <f>'Таблица-13'!D64</f>
        <v>42290</v>
      </c>
      <c r="C7" s="401">
        <f>'Таблица-13'!E64</f>
        <v>29602.999999999996</v>
      </c>
      <c r="D7" s="51">
        <f>C7/B7*100</f>
        <v>70</v>
      </c>
      <c r="E7" s="391">
        <f>'Таблица-13'!G64</f>
        <v>42290</v>
      </c>
      <c r="F7" s="354">
        <f>'Таблица-13'!H64</f>
        <v>29602.999999999996</v>
      </c>
      <c r="G7" s="391">
        <f>'Таблица-13'!K64</f>
        <v>42290</v>
      </c>
      <c r="H7" s="354">
        <f>F7</f>
        <v>29602.999999999996</v>
      </c>
      <c r="I7" s="391">
        <f>'Таблица-13'!M62+'Таблица-13'!M63+'Таблица-13'!M64+'Таблица-13'!M58</f>
        <v>375478.30000000005</v>
      </c>
      <c r="J7" s="391">
        <f>'Таблица-13'!N58+'Таблица-13'!N62+'Таблица-13'!N63+'Таблица-13'!N64</f>
        <v>264667.10499999998</v>
      </c>
      <c r="K7" s="391">
        <f>'Таблица-13'!O55+'Таблица-13'!O57+'Таблица-13'!O59+'Таблица-13'!O61+'Таблица-13'!O62</f>
        <v>284741.66499999998</v>
      </c>
    </row>
    <row r="8" spans="1:11" ht="84.6" thickBot="1">
      <c r="A8" s="10" t="s">
        <v>72</v>
      </c>
      <c r="B8" s="51">
        <f>'Таблица-13'!D78+'Таблица-13'!D80+'Таблица-13'!D79</f>
        <v>180280.34000000003</v>
      </c>
      <c r="C8" s="402">
        <f>'Таблица-13'!E78+'Таблица-13'!E80+'Таблица-13'!E79</f>
        <v>180280.34000000003</v>
      </c>
      <c r="D8" s="51">
        <v>100</v>
      </c>
      <c r="E8" s="51">
        <f>'Таблица-13'!G80+'Таблица-13'!G79</f>
        <v>120369.58</v>
      </c>
      <c r="F8" s="354">
        <f>E8</f>
        <v>120369.58</v>
      </c>
      <c r="G8" s="51">
        <f>F8</f>
        <v>120369.58</v>
      </c>
      <c r="H8" s="354">
        <f>G8</f>
        <v>120369.58</v>
      </c>
      <c r="I8" s="51">
        <f>'Таблица-13'!K80</f>
        <v>26410</v>
      </c>
      <c r="J8" s="51">
        <f>'Таблица-13'!L80</f>
        <v>26410</v>
      </c>
      <c r="K8" s="50">
        <f>'Таблица-13'!O73+'Таблица-13'!O74+'Таблица-13'!O75+'Таблица-13'!O76</f>
        <v>581251.10000000009</v>
      </c>
    </row>
    <row r="9" spans="1:11" ht="94.5" customHeight="1" thickBot="1">
      <c r="A9" s="10" t="s">
        <v>73</v>
      </c>
      <c r="B9" s="391">
        <v>0</v>
      </c>
      <c r="C9" s="401">
        <v>0</v>
      </c>
      <c r="D9" s="51">
        <v>0</v>
      </c>
      <c r="E9" s="51">
        <f>B9</f>
        <v>0</v>
      </c>
      <c r="F9" s="354">
        <f>C9</f>
        <v>0</v>
      </c>
      <c r="G9" s="51">
        <f>E9</f>
        <v>0</v>
      </c>
      <c r="H9" s="354">
        <f>F9</f>
        <v>0</v>
      </c>
      <c r="I9" s="51">
        <f>'Таблица-13'!M90</f>
        <v>30000</v>
      </c>
      <c r="J9" s="51">
        <f>'Таблица-13'!N90</f>
        <v>29760</v>
      </c>
      <c r="K9" s="51">
        <f>'Таблица-13'!O89+'Таблица-13'!O90</f>
        <v>59745</v>
      </c>
    </row>
    <row r="10" spans="1:11" ht="72.599999999999994" hidden="1" thickBot="1">
      <c r="A10" s="10" t="s">
        <v>61</v>
      </c>
      <c r="B10" s="5"/>
      <c r="C10" s="5"/>
      <c r="D10" s="5"/>
      <c r="E10" s="5"/>
      <c r="F10" s="5"/>
      <c r="G10" s="353"/>
      <c r="H10" s="5"/>
      <c r="I10" s="5"/>
      <c r="J10" s="5"/>
      <c r="K10" s="5"/>
    </row>
    <row r="11" spans="1:11" ht="15" hidden="1" thickBot="1">
      <c r="A11" s="10" t="s">
        <v>60</v>
      </c>
      <c r="B11" s="5"/>
      <c r="C11" s="5"/>
      <c r="D11" s="5"/>
      <c r="E11" s="5"/>
      <c r="F11" s="5"/>
      <c r="G11" s="353"/>
      <c r="H11" s="5"/>
      <c r="I11" s="5"/>
      <c r="J11" s="5"/>
      <c r="K11" s="5"/>
    </row>
    <row r="12" spans="1:11" ht="84.6" hidden="1" thickBot="1">
      <c r="A12" s="10" t="s">
        <v>62</v>
      </c>
      <c r="B12" s="5"/>
      <c r="C12" s="5"/>
      <c r="D12" s="5"/>
      <c r="E12" s="5"/>
      <c r="F12" s="5"/>
      <c r="G12" s="353"/>
      <c r="H12" s="5"/>
      <c r="I12" s="5"/>
      <c r="J12" s="5"/>
      <c r="K12" s="5"/>
    </row>
    <row r="13" spans="1:11" ht="15" hidden="1" thickBot="1">
      <c r="A13" s="10" t="s">
        <v>60</v>
      </c>
      <c r="B13" s="5"/>
      <c r="C13" s="5"/>
      <c r="D13" s="5"/>
      <c r="E13" s="5"/>
      <c r="F13" s="5"/>
      <c r="G13" s="353"/>
      <c r="H13" s="5"/>
      <c r="I13" s="5"/>
      <c r="J13" s="5"/>
      <c r="K13" s="5"/>
    </row>
    <row r="14" spans="1:11" ht="24.6" hidden="1" thickBot="1">
      <c r="A14" s="10" t="s">
        <v>63</v>
      </c>
      <c r="B14" s="5"/>
      <c r="C14" s="5"/>
      <c r="D14" s="5"/>
      <c r="E14" s="5"/>
      <c r="F14" s="5"/>
      <c r="G14" s="353"/>
      <c r="H14" s="5"/>
      <c r="I14" s="5"/>
      <c r="J14" s="5"/>
      <c r="K14" s="5"/>
    </row>
    <row r="15" spans="1:11" ht="15" hidden="1" thickBot="1">
      <c r="A15" s="10" t="s">
        <v>60</v>
      </c>
      <c r="B15" s="5"/>
      <c r="C15" s="5"/>
      <c r="D15" s="5"/>
      <c r="E15" s="5"/>
      <c r="F15" s="5"/>
      <c r="G15" s="353"/>
      <c r="H15" s="5"/>
      <c r="I15" s="5"/>
      <c r="J15" s="5"/>
      <c r="K15" s="5"/>
    </row>
    <row r="16" spans="1:11" ht="24.6" hidden="1" thickBot="1">
      <c r="A16" s="10" t="s">
        <v>64</v>
      </c>
      <c r="B16" s="5"/>
      <c r="C16" s="5"/>
      <c r="D16" s="5"/>
      <c r="E16" s="5"/>
      <c r="F16" s="5"/>
      <c r="G16" s="353"/>
      <c r="H16" s="5"/>
      <c r="I16" s="5"/>
      <c r="J16" s="5"/>
      <c r="K16" s="5"/>
    </row>
    <row r="17" spans="1:11" ht="15" hidden="1" thickBot="1">
      <c r="A17" s="10" t="s">
        <v>60</v>
      </c>
      <c r="B17" s="5"/>
      <c r="C17" s="5"/>
      <c r="D17" s="5"/>
      <c r="E17" s="5"/>
      <c r="F17" s="5"/>
      <c r="G17" s="353"/>
      <c r="H17" s="5"/>
      <c r="I17" s="5"/>
      <c r="J17" s="5"/>
      <c r="K17" s="5"/>
    </row>
    <row r="18" spans="1:11" ht="24.6" hidden="1" thickBot="1">
      <c r="A18" s="10" t="s">
        <v>65</v>
      </c>
      <c r="B18" s="5"/>
      <c r="C18" s="5"/>
      <c r="D18" s="5"/>
      <c r="E18" s="5"/>
      <c r="F18" s="5"/>
      <c r="G18" s="353"/>
      <c r="H18" s="5"/>
      <c r="I18" s="5"/>
      <c r="J18" s="5"/>
      <c r="K18" s="5"/>
    </row>
    <row r="19" spans="1:11" ht="15" hidden="1" thickBot="1">
      <c r="A19" s="10" t="s">
        <v>60</v>
      </c>
      <c r="B19" s="5"/>
      <c r="C19" s="5"/>
      <c r="D19" s="5"/>
      <c r="E19" s="5"/>
      <c r="F19" s="5"/>
      <c r="G19" s="353"/>
      <c r="H19" s="5"/>
      <c r="I19" s="5"/>
      <c r="J19" s="5"/>
      <c r="K19" s="5"/>
    </row>
    <row r="20" spans="1:11" ht="24.6" hidden="1" thickBot="1">
      <c r="A20" s="10" t="s">
        <v>66</v>
      </c>
      <c r="B20" s="5"/>
      <c r="C20" s="5"/>
      <c r="D20" s="5"/>
      <c r="E20" s="5"/>
      <c r="F20" s="5"/>
      <c r="G20" s="353"/>
      <c r="H20" s="5"/>
      <c r="I20" s="5"/>
      <c r="J20" s="5"/>
      <c r="K20" s="5"/>
    </row>
    <row r="21" spans="1:11" ht="15" hidden="1" thickBot="1">
      <c r="A21" s="10" t="s">
        <v>60</v>
      </c>
      <c r="B21" s="5"/>
      <c r="C21" s="5"/>
      <c r="D21" s="5"/>
      <c r="E21" s="5"/>
      <c r="F21" s="5"/>
      <c r="G21" s="353"/>
      <c r="H21" s="5"/>
      <c r="I21" s="5"/>
      <c r="J21" s="5"/>
      <c r="K21" s="5"/>
    </row>
    <row r="22" spans="1:11" ht="24.6" hidden="1" thickBot="1">
      <c r="A22" s="10" t="s">
        <v>67</v>
      </c>
      <c r="B22" s="5"/>
      <c r="C22" s="5"/>
      <c r="D22" s="5"/>
      <c r="E22" s="5"/>
      <c r="F22" s="5"/>
      <c r="G22" s="353"/>
      <c r="H22" s="5"/>
      <c r="I22" s="5"/>
      <c r="J22" s="5"/>
      <c r="K22" s="5"/>
    </row>
    <row r="23" spans="1:11" ht="15" hidden="1" thickBot="1">
      <c r="A23" s="10" t="s">
        <v>60</v>
      </c>
      <c r="B23" s="5"/>
      <c r="C23" s="5"/>
      <c r="D23" s="5"/>
      <c r="E23" s="5"/>
      <c r="F23" s="5"/>
      <c r="G23" s="353"/>
      <c r="H23" s="5"/>
      <c r="I23" s="5"/>
      <c r="J23" s="5"/>
      <c r="K23" s="5"/>
    </row>
    <row r="24" spans="1:11" ht="15" thickBot="1">
      <c r="A24" s="35" t="s">
        <v>68</v>
      </c>
      <c r="B24" s="36">
        <f>SUM(B4:B23)</f>
        <v>474028.68</v>
      </c>
      <c r="C24" s="36">
        <f>SUM(C4:C23)</f>
        <v>332650.51</v>
      </c>
      <c r="D24" s="40"/>
      <c r="E24" s="36">
        <f t="shared" ref="E24:F24" si="0">SUM(E4:E23)</f>
        <v>414117.92</v>
      </c>
      <c r="F24" s="36">
        <f t="shared" si="0"/>
        <v>272739.75</v>
      </c>
      <c r="G24" s="355">
        <f>SUM(G4:G23)</f>
        <v>206459.58000000002</v>
      </c>
      <c r="H24" s="36">
        <f>SUM(H4:H23)</f>
        <v>171872.58000000002</v>
      </c>
      <c r="I24" s="36">
        <f>SUM(I4:I23)</f>
        <v>475688.30000000005</v>
      </c>
      <c r="J24" s="36">
        <f>SUM(J4:J23)</f>
        <v>342737.10499999998</v>
      </c>
      <c r="K24" s="36">
        <f>SUM(K4:K23)</f>
        <v>1187368.925</v>
      </c>
    </row>
  </sheetData>
  <pageMargins left="0.70866141732283472" right="0.70866141732283472" top="0.74803149606299213" bottom="0.74803149606299213" header="0.31496062992125984" footer="0.31496062992125984"/>
  <pageSetup paperSize="9" scale="85" orientation="landscape" verticalDpi="4294967294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</sheetPr>
  <dimension ref="A1:R29"/>
  <sheetViews>
    <sheetView view="pageBreakPreview" topLeftCell="A7" zoomScaleNormal="100" zoomScaleSheetLayoutView="100" workbookViewId="0">
      <selection activeCell="I46" sqref="I46:I64"/>
    </sheetView>
  </sheetViews>
  <sheetFormatPr defaultRowHeight="14.4"/>
  <cols>
    <col min="1" max="1" width="26.88671875" customWidth="1"/>
    <col min="2" max="2" width="13.109375" customWidth="1"/>
    <col min="3" max="3" width="12.6640625" customWidth="1"/>
    <col min="4" max="4" width="11.6640625" customWidth="1"/>
    <col min="5" max="5" width="14.33203125" customWidth="1"/>
    <col min="6" max="6" width="16" customWidth="1"/>
    <col min="7" max="7" width="13.6640625" customWidth="1"/>
    <col min="8" max="8" width="11.88671875" bestFit="1" customWidth="1"/>
    <col min="9" max="9" width="12.33203125" customWidth="1"/>
    <col min="10" max="10" width="12.44140625" customWidth="1"/>
    <col min="11" max="11" width="9.33203125" bestFit="1" customWidth="1"/>
    <col min="12" max="13" width="9.33203125" customWidth="1"/>
    <col min="14" max="14" width="10.44140625" customWidth="1"/>
    <col min="15" max="15" width="10.44140625" hidden="1" customWidth="1"/>
    <col min="16" max="16" width="9.33203125" bestFit="1" customWidth="1"/>
    <col min="17" max="17" width="12" customWidth="1"/>
  </cols>
  <sheetData>
    <row r="1" spans="1:17" ht="15" thickBot="1">
      <c r="A1" s="523" t="s">
        <v>534</v>
      </c>
      <c r="B1" s="523"/>
      <c r="C1" s="523"/>
      <c r="D1" s="523"/>
      <c r="E1" s="523"/>
      <c r="F1" s="523"/>
      <c r="G1" s="523"/>
      <c r="H1" s="523"/>
      <c r="I1" s="523"/>
      <c r="J1" s="523"/>
      <c r="K1" s="523"/>
      <c r="L1" s="523"/>
      <c r="M1" s="523"/>
      <c r="N1" s="523"/>
      <c r="O1" s="523"/>
      <c r="P1" s="523"/>
      <c r="Q1" s="523"/>
    </row>
    <row r="2" spans="1:17" ht="34.200000000000003" customHeight="1">
      <c r="A2" s="532" t="s">
        <v>43</v>
      </c>
      <c r="B2" s="583" t="s">
        <v>84</v>
      </c>
      <c r="C2" s="532" t="s">
        <v>74</v>
      </c>
      <c r="D2" s="532" t="s">
        <v>333</v>
      </c>
      <c r="E2" s="532" t="s">
        <v>77</v>
      </c>
      <c r="F2" s="532" t="s">
        <v>334</v>
      </c>
      <c r="G2" s="532" t="s">
        <v>79</v>
      </c>
      <c r="H2" s="532" t="s">
        <v>80</v>
      </c>
      <c r="I2" s="532" t="s">
        <v>81</v>
      </c>
      <c r="J2" s="532" t="s">
        <v>82</v>
      </c>
      <c r="K2" s="532" t="s">
        <v>85</v>
      </c>
      <c r="L2" s="416" t="s">
        <v>522</v>
      </c>
      <c r="M2" s="416" t="s">
        <v>523</v>
      </c>
      <c r="N2" s="416" t="s">
        <v>86</v>
      </c>
      <c r="O2" s="416"/>
      <c r="P2" s="416" t="s">
        <v>51</v>
      </c>
      <c r="Q2" s="532" t="s">
        <v>83</v>
      </c>
    </row>
    <row r="3" spans="1:17" ht="48.6" thickBot="1">
      <c r="A3" s="533"/>
      <c r="B3" s="584"/>
      <c r="C3" s="533"/>
      <c r="D3" s="533"/>
      <c r="E3" s="533"/>
      <c r="F3" s="533"/>
      <c r="G3" s="533"/>
      <c r="H3" s="533"/>
      <c r="I3" s="533"/>
      <c r="J3" s="533"/>
      <c r="K3" s="533"/>
      <c r="L3" s="37"/>
      <c r="M3" s="37"/>
      <c r="N3" s="433" t="s">
        <v>278</v>
      </c>
      <c r="O3" s="433"/>
      <c r="P3" s="433" t="s">
        <v>279</v>
      </c>
      <c r="Q3" s="533"/>
    </row>
    <row r="4" spans="1:17" ht="15" thickBot="1">
      <c r="A4" s="34">
        <v>1</v>
      </c>
      <c r="B4" s="423">
        <v>2</v>
      </c>
      <c r="C4" s="69">
        <v>3</v>
      </c>
      <c r="D4" s="70">
        <v>4</v>
      </c>
      <c r="E4" s="69">
        <v>5</v>
      </c>
      <c r="F4" s="70">
        <v>6</v>
      </c>
      <c r="G4" s="69">
        <v>7</v>
      </c>
      <c r="H4" s="70">
        <v>8</v>
      </c>
      <c r="I4" s="69">
        <v>9</v>
      </c>
      <c r="J4" s="70">
        <v>10</v>
      </c>
      <c r="K4" s="34">
        <v>11</v>
      </c>
      <c r="L4" s="34"/>
      <c r="M4" s="34"/>
      <c r="N4" s="34">
        <v>12</v>
      </c>
      <c r="O4" s="34"/>
      <c r="P4" s="34">
        <v>13</v>
      </c>
      <c r="Q4" s="34">
        <v>14</v>
      </c>
    </row>
    <row r="5" spans="1:17" ht="24">
      <c r="A5" s="417" t="s">
        <v>59</v>
      </c>
      <c r="B5" s="424"/>
      <c r="C5" s="421"/>
      <c r="D5" s="422"/>
      <c r="E5" s="421"/>
      <c r="F5" s="422"/>
      <c r="G5" s="421"/>
      <c r="H5" s="422"/>
      <c r="I5" s="421"/>
      <c r="J5" s="422"/>
      <c r="K5" s="417"/>
      <c r="L5" s="417"/>
      <c r="M5" s="417"/>
      <c r="N5" s="417"/>
      <c r="O5" s="417"/>
      <c r="P5" s="417"/>
      <c r="Q5" s="417"/>
    </row>
    <row r="6" spans="1:17" s="68" customFormat="1" ht="51" customHeight="1">
      <c r="A6" s="198" t="s">
        <v>69</v>
      </c>
      <c r="B6" s="425">
        <f>'Таблица-13'!C5</f>
        <v>996900</v>
      </c>
      <c r="C6" s="280">
        <f>'Таблица-13'!D6</f>
        <v>2822621.79</v>
      </c>
      <c r="D6" s="281">
        <f>'Таблица-13'!E6</f>
        <v>1368413.8049999999</v>
      </c>
      <c r="E6" s="280">
        <f>'Таблица-13'!G6</f>
        <v>2822621.79</v>
      </c>
      <c r="F6" s="281">
        <f>'Таблица-13'!H6</f>
        <v>1368413.8049999999</v>
      </c>
      <c r="G6" s="280">
        <f>'Таблица-13'!K6</f>
        <v>2614963.4500000002</v>
      </c>
      <c r="H6" s="281">
        <f>'Таблица-13'!L6</f>
        <v>1267546.635</v>
      </c>
      <c r="I6" s="280">
        <f>'Таблица-13'!M6</f>
        <v>2613985.5300000003</v>
      </c>
      <c r="J6" s="281">
        <f>'Таблица-13'!N6</f>
        <v>1267057.675</v>
      </c>
      <c r="K6" s="431">
        <f>'Таблица-3'!N6</f>
        <v>26</v>
      </c>
      <c r="L6" s="431">
        <v>4</v>
      </c>
      <c r="M6" s="447">
        <f>K6-L6</f>
        <v>22</v>
      </c>
      <c r="N6" s="431">
        <v>77547.87</v>
      </c>
      <c r="O6" s="431"/>
      <c r="P6" s="431">
        <f>J6/B6*100</f>
        <v>127.09977680810513</v>
      </c>
      <c r="Q6" s="434">
        <f>'Таблица-13'!O6</f>
        <v>996460.41000000015</v>
      </c>
    </row>
    <row r="7" spans="1:17" ht="54" customHeight="1">
      <c r="A7" s="71" t="s">
        <v>70</v>
      </c>
      <c r="B7" s="189">
        <v>25650</v>
      </c>
      <c r="C7" s="283">
        <f>'Таблица-13'!D37</f>
        <v>351868.32</v>
      </c>
      <c r="D7" s="284">
        <f>'Таблица-13'!E37</f>
        <v>175934.19</v>
      </c>
      <c r="E7" s="283">
        <f>'Таблица-13'!G37</f>
        <v>134500</v>
      </c>
      <c r="F7" s="284">
        <f>'Таблица-13'!H37</f>
        <v>67250</v>
      </c>
      <c r="G7" s="283">
        <f>'Таблица-13'!K37</f>
        <v>134500</v>
      </c>
      <c r="H7" s="284">
        <f>'Таблица-13'!L37</f>
        <v>67250</v>
      </c>
      <c r="I7" s="283">
        <f>'Таблица-13'!M37</f>
        <v>134500</v>
      </c>
      <c r="J7" s="284">
        <f>'Таблица-13'!L37</f>
        <v>67250</v>
      </c>
      <c r="K7" s="431">
        <f>'Таблица-3'!N7</f>
        <v>2</v>
      </c>
      <c r="L7" s="431">
        <v>1</v>
      </c>
      <c r="M7" s="447">
        <f>K7-L7</f>
        <v>1</v>
      </c>
      <c r="N7" s="431">
        <v>0</v>
      </c>
      <c r="O7" s="431"/>
      <c r="P7" s="431">
        <v>100</v>
      </c>
      <c r="Q7" s="435">
        <f>'Таблица-13'!O37</f>
        <v>25650</v>
      </c>
    </row>
    <row r="8" spans="1:17" ht="46.5" customHeight="1">
      <c r="A8" s="71" t="s">
        <v>71</v>
      </c>
      <c r="B8" s="189">
        <f>'Таблица-13'!C45</f>
        <v>766150</v>
      </c>
      <c r="C8" s="283">
        <f>'Таблица-13'!D44</f>
        <v>1949263.0099999998</v>
      </c>
      <c r="D8" s="284">
        <f>'Таблица-13'!E44</f>
        <v>1305125.2869999998</v>
      </c>
      <c r="E8" s="283">
        <f>'Таблица-13'!G44</f>
        <v>1687417.8699999999</v>
      </c>
      <c r="F8" s="284">
        <f>'Таблица-13'!H44</f>
        <v>1104345.574</v>
      </c>
      <c r="G8" s="283">
        <f>'Таблица-13'!K44</f>
        <v>1687417.8699999999</v>
      </c>
      <c r="H8" s="284">
        <f>'Таблица-13'!L44</f>
        <v>1104345.575</v>
      </c>
      <c r="I8" s="283">
        <f>'Таблица-13'!M44</f>
        <v>1643705.6199999999</v>
      </c>
      <c r="J8" s="284">
        <f>'Таблица-13'!N44</f>
        <v>1093042.9470000002</v>
      </c>
      <c r="K8" s="431">
        <v>15</v>
      </c>
      <c r="L8" s="431">
        <v>1</v>
      </c>
      <c r="M8" s="447">
        <f>K8-L8</f>
        <v>14</v>
      </c>
      <c r="N8" s="431">
        <v>25712.053000000073</v>
      </c>
      <c r="O8" s="431"/>
      <c r="P8" s="431">
        <f>J8/B8*100</f>
        <v>142.66696430202964</v>
      </c>
      <c r="Q8" s="432">
        <f>'Таблица-13'!O44</f>
        <v>552014.43699999992</v>
      </c>
    </row>
    <row r="9" spans="1:17" ht="68.25" customHeight="1">
      <c r="A9" s="71" t="s">
        <v>72</v>
      </c>
      <c r="B9" s="189">
        <f>'Таблица-13'!C66</f>
        <v>1801500</v>
      </c>
      <c r="C9" s="283">
        <f>'Таблица-13'!D65</f>
        <v>1991772.0699999998</v>
      </c>
      <c r="D9" s="284">
        <f>'Таблица-13'!E65</f>
        <v>1991772.0699999998</v>
      </c>
      <c r="E9" s="283">
        <f>'Таблица-13'!G65</f>
        <v>1931861.3099999998</v>
      </c>
      <c r="F9" s="284">
        <f>'Таблица-13'!H65</f>
        <v>1931861.3099999998</v>
      </c>
      <c r="G9" s="283">
        <f>'Таблица-13'!K65</f>
        <v>1931861.3099999998</v>
      </c>
      <c r="H9" s="284">
        <f>'Таблица-13'!L65</f>
        <v>1931861.3099999998</v>
      </c>
      <c r="I9" s="283">
        <f>'Таблица-13'!M65</f>
        <v>1882753.7999999996</v>
      </c>
      <c r="J9" s="284">
        <f>'Таблица-13'!N65</f>
        <v>1813506.2799999996</v>
      </c>
      <c r="K9" s="431">
        <f>'Таблица-3'!N9</f>
        <v>11</v>
      </c>
      <c r="L9" s="431">
        <v>0</v>
      </c>
      <c r="M9" s="447">
        <f>K9-L9</f>
        <v>11</v>
      </c>
      <c r="N9" s="431">
        <v>62121.760000000002</v>
      </c>
      <c r="O9" s="431"/>
      <c r="P9" s="431">
        <f>J9/B9*100</f>
        <v>100.66646017207881</v>
      </c>
      <c r="Q9" s="432">
        <f>'Таблица-13'!O65</f>
        <v>1675644.8699999999</v>
      </c>
    </row>
    <row r="10" spans="1:17" ht="63.75" customHeight="1">
      <c r="A10" s="71" t="s">
        <v>73</v>
      </c>
      <c r="B10" s="189">
        <f>'Таблица-13'!C82</f>
        <v>141800</v>
      </c>
      <c r="C10" s="283">
        <f>'Таблица-13'!D81</f>
        <v>223356.15</v>
      </c>
      <c r="D10" s="284">
        <f>'Таблица-13'!E81</f>
        <v>223356.15</v>
      </c>
      <c r="E10" s="283">
        <f>'Таблица-13'!G81</f>
        <v>207569.49</v>
      </c>
      <c r="F10" s="284">
        <f>'Таблица-13'!H81</f>
        <v>207569.49</v>
      </c>
      <c r="G10" s="283">
        <f>E10</f>
        <v>207569.49</v>
      </c>
      <c r="H10" s="284">
        <f>F10</f>
        <v>207569.49</v>
      </c>
      <c r="I10" s="283">
        <f>'Таблица-13'!M81</f>
        <v>207569.49</v>
      </c>
      <c r="J10" s="284">
        <f>'Таблица-13'!N81</f>
        <v>207329.49</v>
      </c>
      <c r="K10" s="431">
        <f>'Таблица-3'!N10</f>
        <v>8</v>
      </c>
      <c r="L10" s="431">
        <v>3</v>
      </c>
      <c r="M10" s="447">
        <f>K10-L10</f>
        <v>5</v>
      </c>
      <c r="N10" s="431">
        <v>7427</v>
      </c>
      <c r="O10" s="431"/>
      <c r="P10" s="431">
        <f>J10/B10*100</f>
        <v>146.21261636107192</v>
      </c>
      <c r="Q10" s="432">
        <f>'Таблица-13'!O81</f>
        <v>142287</v>
      </c>
    </row>
    <row r="11" spans="1:17" ht="24.6" hidden="1" customHeight="1">
      <c r="A11" s="71" t="s">
        <v>61</v>
      </c>
      <c r="B11" s="426"/>
      <c r="C11" s="283"/>
      <c r="D11" s="284"/>
      <c r="E11" s="283"/>
      <c r="F11" s="284"/>
      <c r="G11" s="283"/>
      <c r="H11" s="284"/>
      <c r="I11" s="283"/>
      <c r="J11" s="284"/>
      <c r="K11" s="432"/>
      <c r="L11" s="432"/>
      <c r="M11" s="432"/>
      <c r="N11" s="432"/>
      <c r="O11" s="432"/>
      <c r="P11" s="432"/>
      <c r="Q11" s="432"/>
    </row>
    <row r="12" spans="1:17" hidden="1">
      <c r="A12" s="71" t="s">
        <v>60</v>
      </c>
      <c r="B12" s="426"/>
      <c r="C12" s="283"/>
      <c r="D12" s="284"/>
      <c r="E12" s="283"/>
      <c r="F12" s="284"/>
      <c r="G12" s="283"/>
      <c r="H12" s="284"/>
      <c r="I12" s="283"/>
      <c r="J12" s="284"/>
      <c r="K12" s="432"/>
      <c r="L12" s="432"/>
      <c r="M12" s="432"/>
      <c r="N12" s="432"/>
      <c r="O12" s="432"/>
      <c r="P12" s="432"/>
      <c r="Q12" s="432"/>
    </row>
    <row r="13" spans="1:17" ht="180.6" hidden="1" customHeight="1" thickBot="1">
      <c r="A13" s="10" t="s">
        <v>62</v>
      </c>
      <c r="B13" s="427"/>
      <c r="C13" s="429"/>
      <c r="D13" s="285"/>
      <c r="E13" s="429"/>
      <c r="F13" s="285"/>
      <c r="G13" s="429"/>
      <c r="H13" s="285"/>
      <c r="I13" s="429"/>
      <c r="J13" s="285"/>
      <c r="K13" s="429"/>
      <c r="L13" s="429"/>
      <c r="M13" s="429"/>
      <c r="N13" s="429"/>
      <c r="O13" s="429"/>
      <c r="P13" s="429"/>
      <c r="Q13" s="429"/>
    </row>
    <row r="14" spans="1:17" ht="15" hidden="1" thickBot="1">
      <c r="A14" s="10" t="s">
        <v>60</v>
      </c>
      <c r="B14" s="427"/>
      <c r="C14" s="429"/>
      <c r="D14" s="285"/>
      <c r="E14" s="429"/>
      <c r="F14" s="285"/>
      <c r="G14" s="429"/>
      <c r="H14" s="285"/>
      <c r="I14" s="429"/>
      <c r="J14" s="285"/>
      <c r="K14" s="429"/>
      <c r="L14" s="429"/>
      <c r="M14" s="429"/>
      <c r="N14" s="429"/>
      <c r="O14" s="429"/>
      <c r="P14" s="429"/>
      <c r="Q14" s="429"/>
    </row>
    <row r="15" spans="1:17" ht="48.6" hidden="1" customHeight="1" thickBot="1">
      <c r="A15" s="10" t="s">
        <v>63</v>
      </c>
      <c r="B15" s="427"/>
      <c r="C15" s="429"/>
      <c r="D15" s="285"/>
      <c r="E15" s="429"/>
      <c r="F15" s="285"/>
      <c r="G15" s="429"/>
      <c r="H15" s="285"/>
      <c r="I15" s="429"/>
      <c r="J15" s="285"/>
      <c r="K15" s="429"/>
      <c r="L15" s="429"/>
      <c r="M15" s="429"/>
      <c r="N15" s="429"/>
      <c r="O15" s="429"/>
      <c r="P15" s="429"/>
      <c r="Q15" s="429"/>
    </row>
    <row r="16" spans="1:17" ht="15" hidden="1" thickBot="1">
      <c r="A16" s="10" t="s">
        <v>60</v>
      </c>
      <c r="B16" s="427"/>
      <c r="C16" s="429"/>
      <c r="D16" s="285"/>
      <c r="E16" s="429"/>
      <c r="F16" s="285"/>
      <c r="G16" s="429"/>
      <c r="H16" s="285"/>
      <c r="I16" s="429"/>
      <c r="J16" s="285"/>
      <c r="K16" s="429"/>
      <c r="L16" s="429"/>
      <c r="M16" s="429"/>
      <c r="N16" s="429"/>
      <c r="O16" s="429"/>
      <c r="P16" s="429"/>
      <c r="Q16" s="429"/>
    </row>
    <row r="17" spans="1:18" ht="60.6" hidden="1" customHeight="1" thickBot="1">
      <c r="A17" s="10" t="s">
        <v>64</v>
      </c>
      <c r="B17" s="427"/>
      <c r="C17" s="429"/>
      <c r="D17" s="285"/>
      <c r="E17" s="429"/>
      <c r="F17" s="285"/>
      <c r="G17" s="429"/>
      <c r="H17" s="285"/>
      <c r="I17" s="429"/>
      <c r="J17" s="285"/>
      <c r="K17" s="429"/>
      <c r="L17" s="429"/>
      <c r="M17" s="429"/>
      <c r="N17" s="429"/>
      <c r="O17" s="429"/>
      <c r="P17" s="429"/>
      <c r="Q17" s="429"/>
    </row>
    <row r="18" spans="1:18" ht="15" hidden="1" thickBot="1">
      <c r="A18" s="10" t="s">
        <v>60</v>
      </c>
      <c r="B18" s="427"/>
      <c r="C18" s="429"/>
      <c r="D18" s="285"/>
      <c r="E18" s="429"/>
      <c r="F18" s="285"/>
      <c r="G18" s="429"/>
      <c r="H18" s="285"/>
      <c r="I18" s="429"/>
      <c r="J18" s="285"/>
      <c r="K18" s="429"/>
      <c r="L18" s="429"/>
      <c r="M18" s="429"/>
      <c r="N18" s="429"/>
      <c r="O18" s="429"/>
      <c r="P18" s="429"/>
      <c r="Q18" s="429"/>
    </row>
    <row r="19" spans="1:18" ht="60.6" hidden="1" customHeight="1" thickBot="1">
      <c r="A19" s="10" t="s">
        <v>65</v>
      </c>
      <c r="B19" s="427"/>
      <c r="C19" s="429"/>
      <c r="D19" s="285"/>
      <c r="E19" s="429"/>
      <c r="F19" s="285"/>
      <c r="G19" s="429"/>
      <c r="H19" s="285"/>
      <c r="I19" s="429"/>
      <c r="J19" s="285"/>
      <c r="K19" s="429"/>
      <c r="L19" s="429"/>
      <c r="M19" s="429"/>
      <c r="N19" s="429"/>
      <c r="O19" s="429"/>
      <c r="P19" s="429"/>
      <c r="Q19" s="429"/>
    </row>
    <row r="20" spans="1:18" ht="15" hidden="1" thickBot="1">
      <c r="A20" s="10" t="s">
        <v>60</v>
      </c>
      <c r="B20" s="427"/>
      <c r="C20" s="429"/>
      <c r="D20" s="285"/>
      <c r="E20" s="429"/>
      <c r="F20" s="285"/>
      <c r="G20" s="429"/>
      <c r="H20" s="285"/>
      <c r="I20" s="429"/>
      <c r="J20" s="285"/>
      <c r="K20" s="429"/>
      <c r="L20" s="429"/>
      <c r="M20" s="429"/>
      <c r="N20" s="429"/>
      <c r="O20" s="429"/>
      <c r="P20" s="429"/>
      <c r="Q20" s="429"/>
    </row>
    <row r="21" spans="1:18" ht="48.6" hidden="1" customHeight="1" thickBot="1">
      <c r="A21" s="10" t="s">
        <v>66</v>
      </c>
      <c r="B21" s="427"/>
      <c r="C21" s="429"/>
      <c r="D21" s="285"/>
      <c r="E21" s="429"/>
      <c r="F21" s="285"/>
      <c r="G21" s="429"/>
      <c r="H21" s="285"/>
      <c r="I21" s="429"/>
      <c r="J21" s="285"/>
      <c r="K21" s="429"/>
      <c r="L21" s="429"/>
      <c r="M21" s="429"/>
      <c r="N21" s="429"/>
      <c r="O21" s="429"/>
      <c r="P21" s="429"/>
      <c r="Q21" s="429"/>
    </row>
    <row r="22" spans="1:18" ht="15" hidden="1" thickBot="1">
      <c r="A22" s="10" t="s">
        <v>60</v>
      </c>
      <c r="B22" s="427"/>
      <c r="C22" s="429"/>
      <c r="D22" s="285"/>
      <c r="E22" s="429"/>
      <c r="F22" s="285"/>
      <c r="G22" s="429"/>
      <c r="H22" s="285"/>
      <c r="I22" s="429"/>
      <c r="J22" s="285"/>
      <c r="K22" s="429"/>
      <c r="L22" s="429"/>
      <c r="M22" s="429"/>
      <c r="N22" s="429"/>
      <c r="O22" s="429"/>
      <c r="P22" s="429"/>
      <c r="Q22" s="429"/>
    </row>
    <row r="23" spans="1:18" ht="48.6" hidden="1" customHeight="1" thickBot="1">
      <c r="A23" s="10" t="s">
        <v>67</v>
      </c>
      <c r="B23" s="427"/>
      <c r="C23" s="429"/>
      <c r="D23" s="285"/>
      <c r="E23" s="429"/>
      <c r="F23" s="285"/>
      <c r="G23" s="429"/>
      <c r="H23" s="285"/>
      <c r="I23" s="429"/>
      <c r="J23" s="285"/>
      <c r="K23" s="429"/>
      <c r="L23" s="429"/>
      <c r="M23" s="429"/>
      <c r="N23" s="429"/>
      <c r="O23" s="429"/>
      <c r="P23" s="429"/>
      <c r="Q23" s="429"/>
    </row>
    <row r="24" spans="1:18" ht="15" hidden="1" thickBot="1">
      <c r="A24" s="10" t="s">
        <v>60</v>
      </c>
      <c r="B24" s="427"/>
      <c r="C24" s="429"/>
      <c r="D24" s="285"/>
      <c r="E24" s="429"/>
      <c r="F24" s="285"/>
      <c r="G24" s="429"/>
      <c r="H24" s="285"/>
      <c r="I24" s="429"/>
      <c r="J24" s="285"/>
      <c r="K24" s="429"/>
      <c r="L24" s="429"/>
      <c r="M24" s="429"/>
      <c r="N24" s="429"/>
      <c r="O24" s="429"/>
      <c r="P24" s="429"/>
      <c r="Q24" s="429"/>
    </row>
    <row r="25" spans="1:18" ht="15" thickBot="1">
      <c r="A25" s="35" t="s">
        <v>68</v>
      </c>
      <c r="B25" s="428">
        <f>SUM(B6:B24)</f>
        <v>3732000</v>
      </c>
      <c r="C25" s="430">
        <f>C6+C7+C8+C9+C10</f>
        <v>7338881.3399999999</v>
      </c>
      <c r="D25" s="164">
        <f>SUM(D6:D24)</f>
        <v>5064601.5020000003</v>
      </c>
      <c r="E25" s="430">
        <f t="shared" ref="E25" si="0">SUM(E6:E24)</f>
        <v>6783970.46</v>
      </c>
      <c r="F25" s="164">
        <f t="shared" ref="F25:N25" si="1">SUM(F6:F24)</f>
        <v>4679440.1789999995</v>
      </c>
      <c r="G25" s="430">
        <f t="shared" si="1"/>
        <v>6576312.1200000001</v>
      </c>
      <c r="H25" s="164">
        <f>SUM(H6:H24)+0.01</f>
        <v>4578573.0199999996</v>
      </c>
      <c r="I25" s="430">
        <f t="shared" si="1"/>
        <v>6482514.4400000004</v>
      </c>
      <c r="J25" s="164">
        <f t="shared" si="1"/>
        <v>4448186.392</v>
      </c>
      <c r="K25" s="430">
        <f t="shared" si="1"/>
        <v>62</v>
      </c>
      <c r="L25" s="430">
        <f>SUM(L6:L24)</f>
        <v>9</v>
      </c>
      <c r="M25" s="430">
        <f>SUM(M6:M10)</f>
        <v>53</v>
      </c>
      <c r="N25" s="430">
        <f t="shared" si="1"/>
        <v>172808.68300000008</v>
      </c>
      <c r="O25" s="430"/>
      <c r="P25" s="430"/>
      <c r="Q25" s="430">
        <f>SUM(Q6:Q24)</f>
        <v>3392056.7170000002</v>
      </c>
      <c r="R25" s="163"/>
    </row>
    <row r="27" spans="1:18">
      <c r="A27" s="585"/>
      <c r="B27" s="585"/>
      <c r="C27" s="585"/>
      <c r="D27" s="585"/>
      <c r="E27" s="585"/>
      <c r="F27" s="585"/>
      <c r="G27" s="585"/>
      <c r="H27" s="585"/>
      <c r="I27" s="585"/>
      <c r="J27" s="585"/>
      <c r="K27" s="585"/>
      <c r="L27" s="585"/>
      <c r="M27" s="585"/>
      <c r="N27" s="585"/>
      <c r="O27" s="585"/>
      <c r="P27" s="585"/>
      <c r="Q27" s="585"/>
    </row>
    <row r="28" spans="1:18" ht="29.25" customHeight="1">
      <c r="A28" s="582"/>
      <c r="B28" s="582"/>
      <c r="C28" s="582"/>
      <c r="D28" s="582"/>
      <c r="E28" s="582"/>
      <c r="F28" s="582"/>
      <c r="G28" s="582"/>
      <c r="H28" s="582"/>
      <c r="I28" s="582"/>
      <c r="J28" s="582"/>
      <c r="K28" s="582"/>
      <c r="L28" s="582"/>
      <c r="M28" s="582"/>
      <c r="N28" s="582"/>
      <c r="O28" s="582"/>
      <c r="P28" s="582"/>
      <c r="Q28" s="582"/>
    </row>
    <row r="29" spans="1:18" ht="14.4" customHeight="1">
      <c r="A29" s="582"/>
      <c r="B29" s="582"/>
      <c r="C29" s="582"/>
      <c r="D29" s="582"/>
      <c r="E29" s="582"/>
      <c r="F29" s="582"/>
      <c r="G29" s="582"/>
      <c r="H29" s="582"/>
      <c r="I29" s="582"/>
      <c r="J29" s="582"/>
      <c r="K29" s="582"/>
      <c r="L29" s="582"/>
      <c r="M29" s="582"/>
      <c r="N29" s="582"/>
      <c r="O29" s="582"/>
      <c r="P29" s="582"/>
      <c r="Q29" s="582"/>
    </row>
  </sheetData>
  <mergeCells count="16">
    <mergeCell ref="A29:Q29"/>
    <mergeCell ref="A28:Q28"/>
    <mergeCell ref="A1:Q1"/>
    <mergeCell ref="G2:G3"/>
    <mergeCell ref="H2:H3"/>
    <mergeCell ref="I2:I3"/>
    <mergeCell ref="J2:J3"/>
    <mergeCell ref="K2:K3"/>
    <mergeCell ref="Q2:Q3"/>
    <mergeCell ref="A2:A3"/>
    <mergeCell ref="B2:B3"/>
    <mergeCell ref="C2:C3"/>
    <mergeCell ref="D2:D3"/>
    <mergeCell ref="E2:E3"/>
    <mergeCell ref="F2:F3"/>
    <mergeCell ref="A27:Q27"/>
  </mergeCells>
  <pageMargins left="0.31496062992125984" right="0.31496062992125984" top="0.74803149606299213" bottom="0.74803149606299213" header="0.31496062992125984" footer="0.31496062992125984"/>
  <pageSetup paperSize="9" scale="65" orientation="landscape" verticalDpi="4294967294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view="pageBreakPreview" zoomScale="120" zoomScaleNormal="100" zoomScaleSheetLayoutView="120" workbookViewId="0">
      <selection activeCell="I46" sqref="I46:I64"/>
    </sheetView>
  </sheetViews>
  <sheetFormatPr defaultRowHeight="14.4"/>
  <cols>
    <col min="1" max="1" width="24.6640625" customWidth="1"/>
    <col min="2" max="2" width="8.6640625" customWidth="1"/>
    <col min="16" max="16" width="10" bestFit="1" customWidth="1"/>
  </cols>
  <sheetData>
    <row r="1" spans="1:16" ht="15" thickBot="1">
      <c r="A1" s="523" t="s">
        <v>535</v>
      </c>
      <c r="B1" s="523"/>
      <c r="C1" s="523"/>
      <c r="D1" s="523"/>
      <c r="E1" s="523"/>
      <c r="F1" s="523"/>
      <c r="G1" s="523"/>
      <c r="H1" s="523"/>
      <c r="I1" s="523"/>
      <c r="J1" s="523"/>
      <c r="K1" s="523"/>
      <c r="L1" s="523"/>
      <c r="M1" s="523"/>
      <c r="N1" s="523"/>
    </row>
    <row r="2" spans="1:16" ht="46.2" thickBot="1">
      <c r="A2" s="532" t="s">
        <v>87</v>
      </c>
      <c r="B2" s="30" t="s">
        <v>44</v>
      </c>
      <c r="C2" s="529" t="s">
        <v>88</v>
      </c>
      <c r="D2" s="530"/>
      <c r="E2" s="529" t="s">
        <v>47</v>
      </c>
      <c r="F2" s="530"/>
      <c r="G2" s="529" t="s">
        <v>48</v>
      </c>
      <c r="H2" s="530"/>
      <c r="I2" s="529" t="s">
        <v>49</v>
      </c>
      <c r="J2" s="530"/>
      <c r="K2" s="529" t="s">
        <v>50</v>
      </c>
      <c r="L2" s="530"/>
      <c r="M2" s="30" t="s">
        <v>51</v>
      </c>
      <c r="N2" s="529" t="s">
        <v>53</v>
      </c>
      <c r="O2" s="530"/>
      <c r="P2" s="30" t="s">
        <v>54</v>
      </c>
    </row>
    <row r="3" spans="1:16" ht="48.6" thickBot="1">
      <c r="A3" s="533"/>
      <c r="B3" s="31" t="s">
        <v>45</v>
      </c>
      <c r="C3" s="33" t="s">
        <v>56</v>
      </c>
      <c r="D3" s="33" t="s">
        <v>57</v>
      </c>
      <c r="E3" s="33" t="s">
        <v>58</v>
      </c>
      <c r="F3" s="33" t="s">
        <v>57</v>
      </c>
      <c r="G3" s="33" t="s">
        <v>58</v>
      </c>
      <c r="H3" s="33" t="s">
        <v>57</v>
      </c>
      <c r="I3" s="33" t="s">
        <v>56</v>
      </c>
      <c r="J3" s="33" t="s">
        <v>57</v>
      </c>
      <c r="K3" s="33" t="s">
        <v>58</v>
      </c>
      <c r="L3" s="33" t="s">
        <v>57</v>
      </c>
      <c r="M3" s="32" t="s">
        <v>52</v>
      </c>
      <c r="N3" s="33" t="s">
        <v>58</v>
      </c>
      <c r="O3" s="33" t="s">
        <v>57</v>
      </c>
      <c r="P3" s="32" t="s">
        <v>55</v>
      </c>
    </row>
    <row r="4" spans="1:16" ht="15" thickBot="1">
      <c r="A4" s="34">
        <v>1</v>
      </c>
      <c r="B4" s="33">
        <v>2</v>
      </c>
      <c r="C4" s="33">
        <v>3</v>
      </c>
      <c r="D4" s="33">
        <v>4</v>
      </c>
      <c r="E4" s="33">
        <v>5</v>
      </c>
      <c r="F4" s="33">
        <v>6</v>
      </c>
      <c r="G4" s="33">
        <v>7</v>
      </c>
      <c r="H4" s="33">
        <v>8</v>
      </c>
      <c r="I4" s="33">
        <v>9</v>
      </c>
      <c r="J4" s="33">
        <v>10</v>
      </c>
      <c r="K4" s="33">
        <v>11</v>
      </c>
      <c r="L4" s="33">
        <v>12</v>
      </c>
      <c r="M4" s="33">
        <v>13</v>
      </c>
      <c r="N4" s="33">
        <v>14</v>
      </c>
      <c r="O4" s="33">
        <v>15</v>
      </c>
      <c r="P4" s="33">
        <v>16</v>
      </c>
    </row>
    <row r="5" spans="1:16" ht="60.6" thickBot="1">
      <c r="A5" s="10" t="s">
        <v>90</v>
      </c>
      <c r="B5" s="50">
        <f>'Таблица-3'!B6+'Таблица-3'!B7+'Таблица-3'!B8</f>
        <v>36</v>
      </c>
      <c r="C5" s="5">
        <f>'Таблица-3'!C6+'Таблица-3'!C7+'Таблица-3'!C8</f>
        <v>5</v>
      </c>
      <c r="D5" s="5">
        <f>'Таблица-3'!D6+'Таблица-3'!D7+'Таблица-3'!D8</f>
        <v>52</v>
      </c>
      <c r="E5" s="5">
        <f>'Таблица-3'!E6+'Таблица-3'!E7+'Таблица-3'!E8</f>
        <v>5</v>
      </c>
      <c r="F5" s="5">
        <f>'Таблица-3'!F6+'Таблица-3'!F7+'Таблица-3'!F8</f>
        <v>48</v>
      </c>
      <c r="G5" s="5">
        <f>'Таблица-3'!G6+'Таблица-3'!G7+'Таблица-3'!G8</f>
        <v>5</v>
      </c>
      <c r="H5" s="5">
        <f>'Таблица-3'!H6+'Таблица-3'!H7+'Таблица-3'!H8</f>
        <v>48</v>
      </c>
      <c r="I5" s="5">
        <f>'Таблица-3'!K6+'Таблица-3'!K7+'Таблица-3'!K8</f>
        <v>6</v>
      </c>
      <c r="J5" s="5">
        <f>'Таблица-3'!L6+'Таблица-3'!L7+'Таблица-3'!L8</f>
        <v>44</v>
      </c>
      <c r="K5" s="5">
        <f>'Таблица-3'!M6+'Таблица-3'!M8</f>
        <v>6</v>
      </c>
      <c r="L5" s="418">
        <v>43</v>
      </c>
      <c r="M5" s="77">
        <f>L5/B5%</f>
        <v>119.44444444444444</v>
      </c>
      <c r="N5" s="5">
        <f>'Таблица-3'!R6+'Таблица-3'!R8</f>
        <v>10</v>
      </c>
      <c r="O5" s="5">
        <f>'Таблица-3'!S6+'Таблица-3'!S7+'Таблица-3'!S8</f>
        <v>34</v>
      </c>
      <c r="P5" s="77">
        <f>O5/B5*100</f>
        <v>94.444444444444443</v>
      </c>
    </row>
    <row r="6" spans="1:16" ht="60.6" thickBot="1">
      <c r="A6" s="10" t="s">
        <v>33</v>
      </c>
      <c r="B6" s="50">
        <f>'Таблица-3'!B9+'Таблица-3'!B10</f>
        <v>18</v>
      </c>
      <c r="C6" s="5">
        <f>'Таблица-3'!C9+'Таблица-3'!C10</f>
        <v>3</v>
      </c>
      <c r="D6" s="5">
        <f>'Таблица-3'!D9+'Таблица-3'!D10</f>
        <v>22</v>
      </c>
      <c r="E6" s="5">
        <f>'Таблица-3'!E9+'Таблица-3'!E10</f>
        <v>2</v>
      </c>
      <c r="F6" s="5">
        <f>'Таблица-3'!F9+'Таблица-3'!F10</f>
        <v>21</v>
      </c>
      <c r="G6" s="5">
        <f>'Таблица-3'!G9+'Таблица-3'!G10</f>
        <v>2</v>
      </c>
      <c r="H6" s="5">
        <f>'Таблица-3'!H9+'Таблица-3'!H10</f>
        <v>21</v>
      </c>
      <c r="I6" s="5">
        <f>'Таблица-3'!K9+'Таблица-3'!K10</f>
        <v>3</v>
      </c>
      <c r="J6" s="5">
        <f>'Таблица-3'!L9+'Таблица-3'!L10</f>
        <v>20</v>
      </c>
      <c r="K6" s="5">
        <v>2</v>
      </c>
      <c r="L6" s="418">
        <f>'Таблица-5'!K9+'Таблица-5'!K10</f>
        <v>19</v>
      </c>
      <c r="M6" s="77">
        <f>L6/B6%</f>
        <v>105.55555555555556</v>
      </c>
      <c r="N6" s="5">
        <f>'Таблица-3'!R9+'Таблица-3'!R10</f>
        <v>7</v>
      </c>
      <c r="O6" s="5">
        <f>'Таблица-3'!S9+'Таблица-3'!S10</f>
        <v>15</v>
      </c>
      <c r="P6" s="77">
        <f>O6/B6*100</f>
        <v>83.333333333333343</v>
      </c>
    </row>
    <row r="7" spans="1:16" ht="15" hidden="1" thickBot="1">
      <c r="A7" s="10" t="s">
        <v>89</v>
      </c>
      <c r="B7" s="5"/>
      <c r="C7" s="5"/>
      <c r="D7" s="5"/>
      <c r="E7" s="5"/>
      <c r="F7" s="5"/>
      <c r="G7" s="5"/>
      <c r="H7" s="5"/>
      <c r="I7" s="5"/>
      <c r="J7" s="5"/>
      <c r="K7" s="5"/>
      <c r="L7" s="418"/>
      <c r="M7" s="77"/>
      <c r="N7" s="5"/>
      <c r="O7" s="5"/>
      <c r="P7" s="5"/>
    </row>
    <row r="8" spans="1:16" ht="15" hidden="1" thickBot="1">
      <c r="A8" s="10" t="s">
        <v>89</v>
      </c>
      <c r="B8" s="5"/>
      <c r="C8" s="5"/>
      <c r="D8" s="5"/>
      <c r="E8" s="5"/>
      <c r="F8" s="5"/>
      <c r="G8" s="5"/>
      <c r="H8" s="5"/>
      <c r="I8" s="5"/>
      <c r="J8" s="5"/>
      <c r="K8" s="5"/>
      <c r="L8" s="418"/>
      <c r="M8" s="77"/>
      <c r="N8" s="5"/>
      <c r="O8" s="5"/>
      <c r="P8" s="5"/>
    </row>
    <row r="9" spans="1:16" ht="15" hidden="1" thickBot="1">
      <c r="A9" s="10" t="s">
        <v>60</v>
      </c>
      <c r="B9" s="5"/>
      <c r="C9" s="5"/>
      <c r="D9" s="5"/>
      <c r="E9" s="5"/>
      <c r="F9" s="5"/>
      <c r="G9" s="5"/>
      <c r="H9" s="5"/>
      <c r="I9" s="5"/>
      <c r="J9" s="5"/>
      <c r="K9" s="5"/>
      <c r="L9" s="418"/>
      <c r="M9" s="77"/>
      <c r="N9" s="5"/>
      <c r="O9" s="5"/>
      <c r="P9" s="5"/>
    </row>
    <row r="10" spans="1:16" ht="15" thickBot="1">
      <c r="A10" s="35" t="s">
        <v>68</v>
      </c>
      <c r="B10" s="36">
        <f>SUM(B5:B9)</f>
        <v>54</v>
      </c>
      <c r="C10" s="36">
        <f t="shared" ref="C10:G10" si="0">SUM(C5:C9)</f>
        <v>8</v>
      </c>
      <c r="D10" s="36">
        <f t="shared" si="0"/>
        <v>74</v>
      </c>
      <c r="E10" s="36">
        <f t="shared" si="0"/>
        <v>7</v>
      </c>
      <c r="F10" s="36">
        <f t="shared" si="0"/>
        <v>69</v>
      </c>
      <c r="G10" s="36">
        <f t="shared" si="0"/>
        <v>7</v>
      </c>
      <c r="H10" s="36">
        <f>SUM(H5:H9)</f>
        <v>69</v>
      </c>
      <c r="I10" s="36">
        <f>SUM(I5:I9)</f>
        <v>9</v>
      </c>
      <c r="J10" s="36">
        <f>SUM(J5:J9)</f>
        <v>64</v>
      </c>
      <c r="K10" s="36">
        <f>SUM(K5:K9)</f>
        <v>8</v>
      </c>
      <c r="L10" s="419">
        <f>SUM(L5:L9)</f>
        <v>62</v>
      </c>
      <c r="M10" s="67">
        <f>L10/B10%</f>
        <v>114.81481481481481</v>
      </c>
      <c r="N10" s="36">
        <f>SUM(N5:N6)</f>
        <v>17</v>
      </c>
      <c r="O10" s="36">
        <f>SUM(O5:O9)</f>
        <v>49</v>
      </c>
      <c r="P10" s="67">
        <f>O10/B10*100</f>
        <v>90.740740740740748</v>
      </c>
    </row>
  </sheetData>
  <mergeCells count="8">
    <mergeCell ref="N2:O2"/>
    <mergeCell ref="A1:N1"/>
    <mergeCell ref="A2:A3"/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scale="53" orientation="portrait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view="pageBreakPreview" zoomScale="130" zoomScaleNormal="100" zoomScaleSheetLayoutView="130" workbookViewId="0">
      <selection activeCell="I46" sqref="I46:I64"/>
    </sheetView>
  </sheetViews>
  <sheetFormatPr defaultRowHeight="14.4"/>
  <cols>
    <col min="1" max="1" width="35" customWidth="1"/>
    <col min="2" max="2" width="13.6640625" customWidth="1"/>
    <col min="3" max="3" width="14" customWidth="1"/>
    <col min="4" max="4" width="10.6640625" customWidth="1"/>
    <col min="5" max="5" width="11.5546875" customWidth="1"/>
    <col min="6" max="6" width="12.109375" customWidth="1"/>
    <col min="9" max="9" width="10.88671875" customWidth="1"/>
    <col min="10" max="10" width="11.6640625" customWidth="1"/>
    <col min="11" max="11" width="12.33203125" customWidth="1"/>
  </cols>
  <sheetData>
    <row r="1" spans="1:11" ht="15" thickBot="1">
      <c r="A1" s="523" t="s">
        <v>536</v>
      </c>
      <c r="B1" s="523"/>
      <c r="C1" s="523"/>
      <c r="D1" s="523"/>
      <c r="E1" s="523"/>
      <c r="F1" s="523"/>
      <c r="G1" s="523"/>
      <c r="H1" s="523"/>
      <c r="I1" s="523"/>
      <c r="J1" s="523"/>
      <c r="K1" s="523"/>
    </row>
    <row r="2" spans="1:11" ht="80.400000000000006" thickBot="1">
      <c r="A2" s="6" t="s">
        <v>87</v>
      </c>
      <c r="B2" s="7" t="s">
        <v>74</v>
      </c>
      <c r="C2" s="7" t="s">
        <v>91</v>
      </c>
      <c r="D2" s="7" t="s">
        <v>92</v>
      </c>
      <c r="E2" s="7" t="s">
        <v>77</v>
      </c>
      <c r="F2" s="7" t="s">
        <v>78</v>
      </c>
      <c r="G2" s="7" t="s">
        <v>79</v>
      </c>
      <c r="H2" s="7" t="s">
        <v>80</v>
      </c>
      <c r="I2" s="7" t="s">
        <v>81</v>
      </c>
      <c r="J2" s="7" t="s">
        <v>82</v>
      </c>
      <c r="K2" s="7" t="s">
        <v>83</v>
      </c>
    </row>
    <row r="3" spans="1:11" ht="15" thickBot="1">
      <c r="A3" s="34">
        <v>1</v>
      </c>
      <c r="B3" s="33">
        <v>2</v>
      </c>
      <c r="C3" s="33">
        <v>3</v>
      </c>
      <c r="D3" s="33">
        <v>4</v>
      </c>
      <c r="E3" s="33">
        <v>5</v>
      </c>
      <c r="F3" s="33">
        <v>6</v>
      </c>
      <c r="G3" s="33">
        <v>7</v>
      </c>
      <c r="H3" s="33">
        <v>8</v>
      </c>
      <c r="I3" s="33">
        <v>9</v>
      </c>
      <c r="J3" s="33">
        <v>10</v>
      </c>
      <c r="K3" s="33">
        <v>11</v>
      </c>
    </row>
    <row r="4" spans="1:11" ht="45" customHeight="1" thickBot="1">
      <c r="A4" s="10" t="s">
        <v>90</v>
      </c>
      <c r="B4" s="27">
        <f>'Таблица-4'!B5+'Таблица-4'!B6+'Таблица-4'!B7</f>
        <v>293748.33999999997</v>
      </c>
      <c r="C4" s="27">
        <f>'Таблица-4'!C5+'Таблица-4'!C6+'Таблица-4'!C7</f>
        <v>152370.16999999998</v>
      </c>
      <c r="D4" s="66">
        <f>C4/B4*100</f>
        <v>51.870989296484197</v>
      </c>
      <c r="E4" s="27">
        <f>'Таблица-4'!E5+'Таблица-4'!E6+'Таблица-4'!E7</f>
        <v>293748.33999999997</v>
      </c>
      <c r="F4" s="27">
        <f>'Таблица-4'!F5+'Таблица-4'!F6+'Таблица-4'!F7</f>
        <v>152370.16999999998</v>
      </c>
      <c r="G4" s="27">
        <f>'Таблица-4'!G5+'Таблица-4'!G6+'Таблица-4'!G7</f>
        <v>86090</v>
      </c>
      <c r="H4" s="27">
        <f>'Таблица-4'!H5+'Таблица-4'!H6+'Таблица-4'!H7</f>
        <v>51503</v>
      </c>
      <c r="I4" s="27">
        <f>'Таблица-4'!I5+'Таблица-4'!I6+'Таблица-4'!I7</f>
        <v>419278.30000000005</v>
      </c>
      <c r="J4" s="27">
        <f>'Таблица-4'!J5+'Таблица-4'!J6+'Таблица-4'!J7</f>
        <v>286567.10499999998</v>
      </c>
      <c r="K4" s="27">
        <f>'Таблица-4'!K5+'Таблица-4'!K6+'Таблица-4'!K7</f>
        <v>546372.82499999995</v>
      </c>
    </row>
    <row r="5" spans="1:11" ht="36.6" thickBot="1">
      <c r="A5" s="10" t="s">
        <v>33</v>
      </c>
      <c r="B5" s="27">
        <f>'Таблица-4'!B8+'Таблица-4'!B9</f>
        <v>180280.34000000003</v>
      </c>
      <c r="C5" s="27">
        <f>'Таблица-4'!C8+'Таблица-4'!C9</f>
        <v>180280.34000000003</v>
      </c>
      <c r="D5" s="66">
        <f>C5/B5*100</f>
        <v>100</v>
      </c>
      <c r="E5" s="27">
        <f>'Таблица-4'!E8+'Таблица-4'!E9</f>
        <v>120369.58</v>
      </c>
      <c r="F5" s="27">
        <f>'Таблица-4'!F8+'Таблица-4'!F9</f>
        <v>120369.58</v>
      </c>
      <c r="G5" s="27">
        <f>'Таблица-4'!G8+'Таблица-4'!G9</f>
        <v>120369.58</v>
      </c>
      <c r="H5" s="27">
        <f>'Таблица-4'!H8+'Таблица-4'!H9</f>
        <v>120369.58</v>
      </c>
      <c r="I5" s="27">
        <f>'Таблица-4'!I8+'Таблица-4'!I9</f>
        <v>56410</v>
      </c>
      <c r="J5" s="27">
        <f>'Таблица-4'!J8+'Таблица-4'!J9</f>
        <v>56170</v>
      </c>
      <c r="K5" s="27">
        <f>'Таблица-4'!K8+'Таблица-4'!K9</f>
        <v>640996.10000000009</v>
      </c>
    </row>
    <row r="6" spans="1:11" ht="15" hidden="1" thickBot="1">
      <c r="A6" s="10" t="s">
        <v>89</v>
      </c>
      <c r="B6" s="5"/>
      <c r="C6" s="5"/>
      <c r="D6" s="66"/>
      <c r="E6" s="5"/>
      <c r="F6" s="5"/>
      <c r="G6" s="5"/>
      <c r="H6" s="5"/>
      <c r="I6" s="5"/>
      <c r="J6" s="5"/>
      <c r="K6" s="5"/>
    </row>
    <row r="7" spans="1:11" ht="15" hidden="1" thickBot="1">
      <c r="A7" s="10" t="s">
        <v>89</v>
      </c>
      <c r="B7" s="5"/>
      <c r="C7" s="5"/>
      <c r="D7" s="66"/>
      <c r="E7" s="5"/>
      <c r="F7" s="5"/>
      <c r="G7" s="5"/>
      <c r="H7" s="5"/>
      <c r="I7" s="5"/>
      <c r="J7" s="5"/>
      <c r="K7" s="5"/>
    </row>
    <row r="8" spans="1:11" ht="15" hidden="1" thickBot="1">
      <c r="A8" s="10" t="s">
        <v>60</v>
      </c>
      <c r="B8" s="5"/>
      <c r="C8" s="5"/>
      <c r="D8" s="66"/>
      <c r="E8" s="5"/>
      <c r="F8" s="5"/>
      <c r="G8" s="5"/>
      <c r="H8" s="5"/>
      <c r="I8" s="5"/>
      <c r="J8" s="5"/>
      <c r="K8" s="5"/>
    </row>
    <row r="9" spans="1:11" ht="15" thickBot="1">
      <c r="A9" s="35" t="s">
        <v>68</v>
      </c>
      <c r="B9" s="52">
        <f>SUM(B4:B8)</f>
        <v>474028.68</v>
      </c>
      <c r="C9" s="52">
        <f>SUM(C4:C8)</f>
        <v>332650.51</v>
      </c>
      <c r="D9" s="67">
        <f>C9/B9*100</f>
        <v>70.175186446524719</v>
      </c>
      <c r="E9" s="52">
        <f t="shared" ref="E9:K9" si="0">SUM(E4:E8)</f>
        <v>414117.92</v>
      </c>
      <c r="F9" s="52">
        <f t="shared" si="0"/>
        <v>272739.75</v>
      </c>
      <c r="G9" s="52">
        <f t="shared" si="0"/>
        <v>206459.58000000002</v>
      </c>
      <c r="H9" s="52">
        <f t="shared" si="0"/>
        <v>171872.58000000002</v>
      </c>
      <c r="I9" s="52">
        <f t="shared" si="0"/>
        <v>475688.30000000005</v>
      </c>
      <c r="J9" s="52">
        <f t="shared" si="0"/>
        <v>342737.10499999998</v>
      </c>
      <c r="K9" s="52">
        <f t="shared" si="0"/>
        <v>1187368.925</v>
      </c>
    </row>
  </sheetData>
  <mergeCells count="1">
    <mergeCell ref="A1:K1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view="pageBreakPreview" zoomScale="120" zoomScaleNormal="100" zoomScaleSheetLayoutView="120" workbookViewId="0">
      <selection activeCell="I46" sqref="I46:I64"/>
    </sheetView>
  </sheetViews>
  <sheetFormatPr defaultColWidth="8.88671875" defaultRowHeight="10.199999999999999"/>
  <cols>
    <col min="1" max="1" width="24.33203125" style="415" customWidth="1"/>
    <col min="2" max="2" width="9.88671875" style="415" customWidth="1"/>
    <col min="3" max="3" width="9.6640625" style="415" customWidth="1"/>
    <col min="4" max="5" width="10.5546875" style="415" customWidth="1"/>
    <col min="6" max="6" width="9.6640625" style="415" customWidth="1"/>
    <col min="7" max="7" width="10.5546875" style="415" customWidth="1"/>
    <col min="8" max="8" width="12.109375" style="415" customWidth="1"/>
    <col min="9" max="9" width="10.5546875" style="415" customWidth="1"/>
    <col min="10" max="10" width="10" style="415" bestFit="1" customWidth="1"/>
    <col min="11" max="11" width="8.6640625" style="415" customWidth="1"/>
    <col min="12" max="12" width="9.109375" style="415" customWidth="1"/>
    <col min="13" max="13" width="8.88671875" style="415"/>
    <col min="14" max="14" width="10.5546875" style="415" customWidth="1"/>
    <col min="15" max="16384" width="8.88671875" style="415"/>
  </cols>
  <sheetData>
    <row r="1" spans="1:14" ht="11.4" thickBot="1">
      <c r="A1" s="414" t="s">
        <v>537</v>
      </c>
    </row>
    <row r="2" spans="1:14" ht="20.399999999999999">
      <c r="A2" s="588" t="s">
        <v>87</v>
      </c>
      <c r="B2" s="588" t="s">
        <v>84</v>
      </c>
      <c r="C2" s="588" t="s">
        <v>74</v>
      </c>
      <c r="D2" s="588" t="s">
        <v>74</v>
      </c>
      <c r="E2" s="588" t="s">
        <v>77</v>
      </c>
      <c r="F2" s="588" t="s">
        <v>78</v>
      </c>
      <c r="G2" s="588" t="s">
        <v>79</v>
      </c>
      <c r="H2" s="588" t="s">
        <v>80</v>
      </c>
      <c r="I2" s="588" t="s">
        <v>81</v>
      </c>
      <c r="J2" s="588" t="s">
        <v>82</v>
      </c>
      <c r="K2" s="588" t="s">
        <v>85</v>
      </c>
      <c r="L2" s="403" t="s">
        <v>86</v>
      </c>
      <c r="M2" s="403" t="s">
        <v>51</v>
      </c>
      <c r="N2" s="588" t="s">
        <v>83</v>
      </c>
    </row>
    <row r="3" spans="1:14" ht="33" thickBot="1">
      <c r="A3" s="589"/>
      <c r="B3" s="589"/>
      <c r="C3" s="589"/>
      <c r="D3" s="589"/>
      <c r="E3" s="589"/>
      <c r="F3" s="589"/>
      <c r="G3" s="589"/>
      <c r="H3" s="589"/>
      <c r="I3" s="589"/>
      <c r="J3" s="589"/>
      <c r="K3" s="589"/>
      <c r="L3" s="404" t="s">
        <v>278</v>
      </c>
      <c r="M3" s="404" t="s">
        <v>279</v>
      </c>
      <c r="N3" s="589"/>
    </row>
    <row r="4" spans="1:14" ht="10.8" thickBot="1">
      <c r="A4" s="405">
        <v>1</v>
      </c>
      <c r="B4" s="406">
        <v>2</v>
      </c>
      <c r="C4" s="406">
        <v>3</v>
      </c>
      <c r="D4" s="406">
        <v>4</v>
      </c>
      <c r="E4" s="406">
        <v>5</v>
      </c>
      <c r="F4" s="406">
        <v>6</v>
      </c>
      <c r="G4" s="406">
        <v>7</v>
      </c>
      <c r="H4" s="406">
        <v>8</v>
      </c>
      <c r="I4" s="406">
        <v>9</v>
      </c>
      <c r="J4" s="406">
        <v>10</v>
      </c>
      <c r="K4" s="406">
        <v>11</v>
      </c>
      <c r="L4" s="406">
        <v>12</v>
      </c>
      <c r="M4" s="406">
        <v>13</v>
      </c>
      <c r="N4" s="406">
        <v>14</v>
      </c>
    </row>
    <row r="5" spans="1:14" ht="41.4" thickBot="1">
      <c r="A5" s="407" t="s">
        <v>90</v>
      </c>
      <c r="B5" s="408">
        <f>'Таблица-5'!B6+'Таблица-5'!B7+'Таблица-5'!B8</f>
        <v>1788700</v>
      </c>
      <c r="C5" s="408">
        <f>'Таблица-5'!C6+'Таблица-5'!C7+'Таблица-5'!C8</f>
        <v>5123753.1199999992</v>
      </c>
      <c r="D5" s="409">
        <f>'Таблица-5'!D6+'Таблица-5'!D7+'Таблица-5'!D8</f>
        <v>2849473.2819999997</v>
      </c>
      <c r="E5" s="408">
        <f>'Таблица-5'!E6+'Таблица-5'!E7+'Таблица-5'!E8</f>
        <v>4644539.66</v>
      </c>
      <c r="F5" s="408">
        <f>'Таблица-5'!F6+'Таблица-5'!F7+'Таблица-5'!F8</f>
        <v>2540009.3789999997</v>
      </c>
      <c r="G5" s="408">
        <f>'Таблица-5'!G6+'Таблица-5'!G7+'Таблица-5'!G8</f>
        <v>4436881.32</v>
      </c>
      <c r="H5" s="408">
        <f>'Таблица-5'!H6+'Таблица-5'!H7+'Таблица-5'!H8+0.01</f>
        <v>2439142.2199999997</v>
      </c>
      <c r="I5" s="408">
        <f>'Таблица-5'!I6+'Таблица-5'!I7+'Таблица-5'!I8</f>
        <v>4392191.1500000004</v>
      </c>
      <c r="J5" s="408">
        <f>'Таблица-5'!J6+'Таблица-5'!J7+'Таблица-5'!J8</f>
        <v>2427350.6220000004</v>
      </c>
      <c r="K5" s="408">
        <f>'Таблица-5'!K6+'Таблица-5'!K7+'Таблица-5'!K8</f>
        <v>43</v>
      </c>
      <c r="L5" s="438">
        <f>'Таблица-5'!N6+'Таблица-5'!N8</f>
        <v>103259.92300000007</v>
      </c>
      <c r="M5" s="410">
        <f>J5/B5*100</f>
        <v>135.70473651255105</v>
      </c>
      <c r="N5" s="408">
        <f>'Таблица-5'!Q6+'Таблица-5'!Q7+'Таблица-5'!Q8</f>
        <v>1574124.8470000001</v>
      </c>
    </row>
    <row r="6" spans="1:14" ht="41.4" thickBot="1">
      <c r="A6" s="407" t="s">
        <v>33</v>
      </c>
      <c r="B6" s="408">
        <f>'Таблица-5'!B9+'Таблица-5'!B10</f>
        <v>1943300</v>
      </c>
      <c r="C6" s="408">
        <f>'Таблица-5'!C9+'Таблица-5'!C10</f>
        <v>2215128.2199999997</v>
      </c>
      <c r="D6" s="408">
        <f>'Таблица-5'!D9+'Таблица-5'!D10</f>
        <v>2215128.2199999997</v>
      </c>
      <c r="E6" s="408">
        <f>'Таблица-5'!E9+'Таблица-5'!E10</f>
        <v>2139430.7999999998</v>
      </c>
      <c r="F6" s="408">
        <f>'Таблица-5'!F9+'Таблица-5'!F10</f>
        <v>2139430.7999999998</v>
      </c>
      <c r="G6" s="408">
        <f>'Таблица-5'!G9+'Таблица-5'!G10</f>
        <v>2139430.7999999998</v>
      </c>
      <c r="H6" s="408">
        <f>'Таблица-5'!H9+'Таблица-5'!H10</f>
        <v>2139430.7999999998</v>
      </c>
      <c r="I6" s="408">
        <f>'Таблица-5'!I9+'Таблица-5'!I10</f>
        <v>2090323.2899999996</v>
      </c>
      <c r="J6" s="408">
        <f>'Таблица-5'!J9+'Таблица-5'!J10</f>
        <v>2020835.7699999996</v>
      </c>
      <c r="K6" s="408">
        <f>'Таблица-5'!K9+'Таблица-5'!K10</f>
        <v>19</v>
      </c>
      <c r="L6" s="438">
        <f>'Таблица-5'!N9+'Таблица-5'!N10</f>
        <v>69548.760000000009</v>
      </c>
      <c r="M6" s="410">
        <f>J6/B6*100</f>
        <v>103.98990222816855</v>
      </c>
      <c r="N6" s="408">
        <f>'Таблица-5'!Q9+'Таблица-5'!Q10</f>
        <v>1817931.8699999999</v>
      </c>
    </row>
    <row r="7" spans="1:14" ht="10.8" hidden="1" thickBot="1">
      <c r="A7" s="407" t="s">
        <v>93</v>
      </c>
      <c r="B7" s="411"/>
      <c r="C7" s="411"/>
      <c r="D7" s="411"/>
      <c r="E7" s="411"/>
      <c r="F7" s="411"/>
      <c r="G7" s="411"/>
      <c r="H7" s="411"/>
      <c r="I7" s="411"/>
      <c r="J7" s="411"/>
      <c r="K7" s="411"/>
      <c r="L7" s="411"/>
      <c r="M7" s="411"/>
      <c r="N7" s="411"/>
    </row>
    <row r="8" spans="1:14" ht="10.8" hidden="1" thickBot="1">
      <c r="A8" s="407" t="s">
        <v>93</v>
      </c>
      <c r="B8" s="411"/>
      <c r="C8" s="411"/>
      <c r="D8" s="411"/>
      <c r="E8" s="411"/>
      <c r="F8" s="411"/>
      <c r="G8" s="411"/>
      <c r="H8" s="411"/>
      <c r="I8" s="411"/>
      <c r="J8" s="411"/>
      <c r="K8" s="411"/>
      <c r="L8" s="411"/>
      <c r="M8" s="411"/>
      <c r="N8" s="411"/>
    </row>
    <row r="9" spans="1:14" ht="10.8" hidden="1" thickBot="1">
      <c r="A9" s="407" t="s">
        <v>94</v>
      </c>
      <c r="B9" s="411"/>
      <c r="C9" s="411"/>
      <c r="D9" s="411"/>
      <c r="E9" s="411"/>
      <c r="F9" s="411"/>
      <c r="G9" s="411"/>
      <c r="H9" s="411"/>
      <c r="I9" s="411"/>
      <c r="J9" s="411"/>
      <c r="K9" s="411"/>
      <c r="L9" s="411"/>
      <c r="M9" s="411"/>
      <c r="N9" s="411"/>
    </row>
    <row r="10" spans="1:14" ht="10.8" thickBot="1">
      <c r="A10" s="412" t="s">
        <v>68</v>
      </c>
      <c r="B10" s="413">
        <f>SUM(B5:B9)</f>
        <v>3732000</v>
      </c>
      <c r="C10" s="413">
        <f t="shared" ref="C10:L10" si="0">SUM(C5:C9)</f>
        <v>7338881.3399999989</v>
      </c>
      <c r="D10" s="413">
        <f>SUM(D5:D9)</f>
        <v>5064601.5019999994</v>
      </c>
      <c r="E10" s="413">
        <f t="shared" si="0"/>
        <v>6783970.46</v>
      </c>
      <c r="F10" s="413">
        <f t="shared" si="0"/>
        <v>4679440.1789999995</v>
      </c>
      <c r="G10" s="413">
        <f t="shared" si="0"/>
        <v>6576312.1200000001</v>
      </c>
      <c r="H10" s="413">
        <f t="shared" si="0"/>
        <v>4578573.0199999996</v>
      </c>
      <c r="I10" s="413">
        <f t="shared" si="0"/>
        <v>6482514.4399999995</v>
      </c>
      <c r="J10" s="413">
        <f t="shared" si="0"/>
        <v>4448186.392</v>
      </c>
      <c r="K10" s="413">
        <f t="shared" si="0"/>
        <v>62</v>
      </c>
      <c r="L10" s="413">
        <f t="shared" si="0"/>
        <v>172808.68300000008</v>
      </c>
      <c r="M10" s="413">
        <f>J10/B10*100</f>
        <v>119.1904177920686</v>
      </c>
      <c r="N10" s="413">
        <f>SUM(N5:N9)</f>
        <v>3392056.7170000002</v>
      </c>
    </row>
    <row r="12" spans="1:14">
      <c r="A12" s="586"/>
      <c r="B12" s="586"/>
      <c r="C12" s="586"/>
      <c r="D12" s="586"/>
      <c r="E12" s="586"/>
      <c r="F12" s="586"/>
      <c r="G12" s="586"/>
      <c r="H12" s="586"/>
      <c r="I12" s="586"/>
      <c r="J12" s="586"/>
      <c r="K12" s="586"/>
      <c r="L12" s="586"/>
      <c r="M12" s="586"/>
      <c r="N12" s="586"/>
    </row>
    <row r="13" spans="1:14" ht="29.25" customHeight="1">
      <c r="A13" s="587"/>
      <c r="B13" s="587"/>
      <c r="C13" s="587"/>
      <c r="D13" s="587"/>
      <c r="E13" s="587"/>
      <c r="F13" s="587"/>
      <c r="G13" s="587"/>
      <c r="H13" s="587"/>
      <c r="I13" s="587"/>
      <c r="J13" s="587"/>
      <c r="K13" s="587"/>
      <c r="L13" s="587"/>
      <c r="M13" s="587"/>
      <c r="N13" s="587"/>
    </row>
    <row r="14" spans="1:14">
      <c r="A14" s="587"/>
      <c r="B14" s="587"/>
      <c r="C14" s="587"/>
      <c r="D14" s="587"/>
      <c r="E14" s="587"/>
      <c r="F14" s="587"/>
      <c r="G14" s="587"/>
      <c r="H14" s="587"/>
      <c r="I14" s="587"/>
      <c r="J14" s="587"/>
      <c r="K14" s="587"/>
      <c r="L14" s="587"/>
      <c r="M14" s="587"/>
      <c r="N14" s="587"/>
    </row>
  </sheetData>
  <mergeCells count="15">
    <mergeCell ref="A12:N12"/>
    <mergeCell ref="A13:N13"/>
    <mergeCell ref="A14:N14"/>
    <mergeCell ref="N2:N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0866141732283472" right="0.70866141732283472" top="0.74803149606299213" bottom="0.74803149606299213" header="0.31496062992125984" footer="0.31496062992125984"/>
  <pageSetup paperSize="9" scale="84" orientation="landscape" vertic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view="pageBreakPreview" topLeftCell="A7" zoomScale="90" zoomScaleNormal="96" zoomScaleSheetLayoutView="90" workbookViewId="0">
      <selection activeCell="I46" sqref="I46:I64"/>
    </sheetView>
  </sheetViews>
  <sheetFormatPr defaultRowHeight="14.4"/>
  <cols>
    <col min="1" max="1" width="22.33203125" customWidth="1"/>
    <col min="3" max="3" width="32.109375" customWidth="1"/>
    <col min="4" max="4" width="11.6640625" customWidth="1"/>
    <col min="6" max="6" width="16.6640625" customWidth="1"/>
    <col min="7" max="7" width="14.109375" customWidth="1"/>
    <col min="8" max="8" width="13.5546875" customWidth="1"/>
    <col min="9" max="9" width="12.44140625" customWidth="1"/>
  </cols>
  <sheetData>
    <row r="1" spans="1:9" ht="15" thickBot="1">
      <c r="A1" s="523" t="s">
        <v>196</v>
      </c>
      <c r="B1" s="523"/>
      <c r="C1" s="523"/>
      <c r="D1" s="523"/>
      <c r="E1" s="523"/>
      <c r="F1" s="523"/>
      <c r="G1" s="523"/>
      <c r="H1" s="523"/>
      <c r="I1" s="523"/>
    </row>
    <row r="2" spans="1:9" ht="86.25" customHeight="1" thickBot="1">
      <c r="A2" s="6" t="s">
        <v>95</v>
      </c>
      <c r="B2" s="529" t="s">
        <v>96</v>
      </c>
      <c r="C2" s="530"/>
      <c r="D2" s="7" t="s">
        <v>47</v>
      </c>
      <c r="E2" s="7" t="s">
        <v>97</v>
      </c>
      <c r="F2" s="7" t="s">
        <v>335</v>
      </c>
      <c r="G2" s="7" t="s">
        <v>98</v>
      </c>
      <c r="H2" s="7" t="s">
        <v>99</v>
      </c>
      <c r="I2" s="7" t="s">
        <v>100</v>
      </c>
    </row>
    <row r="3" spans="1:9" ht="15" thickBot="1">
      <c r="A3" s="8">
        <v>1</v>
      </c>
      <c r="B3" s="594">
        <v>2</v>
      </c>
      <c r="C3" s="595"/>
      <c r="D3" s="9">
        <v>3</v>
      </c>
      <c r="E3" s="9">
        <v>4</v>
      </c>
      <c r="F3" s="9">
        <v>5</v>
      </c>
      <c r="G3" s="9">
        <v>6</v>
      </c>
      <c r="H3" s="9">
        <v>7</v>
      </c>
      <c r="I3" s="9">
        <v>8</v>
      </c>
    </row>
    <row r="4" spans="1:9" ht="36.6" thickBot="1">
      <c r="A4" s="591" t="s">
        <v>101</v>
      </c>
      <c r="B4" s="5" t="s">
        <v>102</v>
      </c>
      <c r="C4" s="5" t="s">
        <v>103</v>
      </c>
      <c r="D4" s="53"/>
      <c r="E4" s="53"/>
      <c r="F4" s="53"/>
      <c r="G4" s="54"/>
      <c r="H4" s="54"/>
      <c r="I4" s="54"/>
    </row>
    <row r="5" spans="1:9" ht="84.6" thickBot="1">
      <c r="A5" s="592"/>
      <c r="B5" s="5" t="s">
        <v>104</v>
      </c>
      <c r="C5" s="5" t="s">
        <v>105</v>
      </c>
      <c r="D5" s="53"/>
      <c r="E5" s="53"/>
      <c r="F5" s="53"/>
      <c r="G5" s="54"/>
      <c r="H5" s="54"/>
      <c r="I5" s="54"/>
    </row>
    <row r="6" spans="1:9" ht="49.2" customHeight="1" thickBot="1">
      <c r="A6" s="593"/>
      <c r="B6" s="5" t="s">
        <v>106</v>
      </c>
      <c r="C6" s="5" t="s">
        <v>107</v>
      </c>
      <c r="D6" s="53"/>
      <c r="E6" s="53"/>
      <c r="F6" s="53"/>
      <c r="G6" s="54"/>
      <c r="H6" s="54"/>
      <c r="I6" s="54"/>
    </row>
    <row r="7" spans="1:9" ht="96" customHeight="1" thickBot="1">
      <c r="A7" s="591" t="s">
        <v>108</v>
      </c>
      <c r="B7" s="5" t="s">
        <v>109</v>
      </c>
      <c r="C7" s="5" t="s">
        <v>110</v>
      </c>
      <c r="D7" s="54">
        <f>'Таблица-6'!F5</f>
        <v>48</v>
      </c>
      <c r="E7" s="420">
        <f>'Таблица-6'!L5</f>
        <v>43</v>
      </c>
      <c r="F7" s="54">
        <f>'Таблица-6'!O5</f>
        <v>34</v>
      </c>
      <c r="G7" s="63">
        <f>'Таблица-5'!F6+'Таблица-5'!F7+'Таблица-5'!F8</f>
        <v>2540009.3789999997</v>
      </c>
      <c r="H7" s="63">
        <f>'Таблица-5'!J6+'Таблица-5'!J7+'Таблица-5'!J8</f>
        <v>2427350.6220000004</v>
      </c>
      <c r="I7" s="56">
        <f>'Таблица-5'!Q6+'Таблица-5'!Q7+'Таблица-5'!Q8</f>
        <v>1574124.8470000001</v>
      </c>
    </row>
    <row r="8" spans="1:9" ht="76.2" customHeight="1" thickBot="1">
      <c r="A8" s="593"/>
      <c r="B8" s="5" t="s">
        <v>111</v>
      </c>
      <c r="C8" s="5" t="s">
        <v>112</v>
      </c>
      <c r="D8" s="53"/>
      <c r="E8" s="53"/>
      <c r="F8" s="53"/>
      <c r="G8" s="54"/>
      <c r="H8" s="54"/>
      <c r="I8" s="54"/>
    </row>
    <row r="9" spans="1:9" ht="141" customHeight="1" thickBot="1">
      <c r="A9" s="591" t="s">
        <v>113</v>
      </c>
      <c r="B9" s="5" t="s">
        <v>114</v>
      </c>
      <c r="C9" s="5" t="s">
        <v>115</v>
      </c>
      <c r="D9" s="53"/>
      <c r="E9" s="53"/>
      <c r="F9" s="53"/>
      <c r="G9" s="54"/>
      <c r="H9" s="54"/>
      <c r="I9" s="54"/>
    </row>
    <row r="10" spans="1:9" ht="45" customHeight="1" thickBot="1">
      <c r="A10" s="593"/>
      <c r="B10" s="5" t="s">
        <v>116</v>
      </c>
      <c r="C10" s="5" t="s">
        <v>117</v>
      </c>
      <c r="D10" s="53"/>
      <c r="E10" s="53"/>
      <c r="F10" s="53"/>
      <c r="G10" s="54"/>
      <c r="H10" s="54"/>
      <c r="I10" s="54"/>
    </row>
    <row r="11" spans="1:9" ht="106.2" customHeight="1" thickBot="1">
      <c r="A11" s="591" t="s">
        <v>118</v>
      </c>
      <c r="B11" s="5" t="s">
        <v>119</v>
      </c>
      <c r="C11" s="5" t="s">
        <v>120</v>
      </c>
      <c r="D11" s="53"/>
      <c r="E11" s="53"/>
      <c r="F11" s="53"/>
      <c r="G11" s="54"/>
      <c r="H11" s="54"/>
      <c r="I11" s="54"/>
    </row>
    <row r="12" spans="1:9" ht="36.6" thickBot="1">
      <c r="A12" s="592"/>
      <c r="B12" s="5" t="s">
        <v>121</v>
      </c>
      <c r="C12" s="5" t="s">
        <v>122</v>
      </c>
      <c r="D12" s="53"/>
      <c r="E12" s="53"/>
      <c r="F12" s="53"/>
      <c r="G12" s="54"/>
      <c r="H12" s="54"/>
      <c r="I12" s="54"/>
    </row>
    <row r="13" spans="1:9" ht="24.6" thickBot="1">
      <c r="A13" s="593"/>
      <c r="B13" s="5" t="s">
        <v>123</v>
      </c>
      <c r="C13" s="5" t="s">
        <v>124</v>
      </c>
      <c r="D13" s="53"/>
      <c r="E13" s="53"/>
      <c r="F13" s="53"/>
      <c r="G13" s="54"/>
      <c r="H13" s="54"/>
      <c r="I13" s="54"/>
    </row>
    <row r="14" spans="1:9" ht="36.6" thickBot="1">
      <c r="A14" s="591" t="s">
        <v>125</v>
      </c>
      <c r="B14" s="5" t="s">
        <v>126</v>
      </c>
      <c r="C14" s="5" t="s">
        <v>127</v>
      </c>
      <c r="D14" s="53"/>
      <c r="E14" s="53"/>
      <c r="F14" s="53"/>
      <c r="G14" s="54"/>
      <c r="H14" s="54"/>
      <c r="I14" s="54"/>
    </row>
    <row r="15" spans="1:9" ht="48.6" thickBot="1">
      <c r="A15" s="592"/>
      <c r="B15" s="5" t="s">
        <v>128</v>
      </c>
      <c r="C15" s="5" t="s">
        <v>129</v>
      </c>
      <c r="D15" s="53"/>
      <c r="E15" s="53"/>
      <c r="F15" s="53"/>
      <c r="G15" s="54"/>
      <c r="H15" s="54"/>
      <c r="I15" s="54"/>
    </row>
    <row r="16" spans="1:9" ht="73.2" customHeight="1" thickBot="1">
      <c r="A16" s="592"/>
      <c r="B16" s="5" t="s">
        <v>130</v>
      </c>
      <c r="C16" s="5" t="s">
        <v>131</v>
      </c>
      <c r="D16" s="53"/>
      <c r="E16" s="53"/>
      <c r="F16" s="53"/>
      <c r="G16" s="54"/>
      <c r="H16" s="54"/>
      <c r="I16" s="54"/>
    </row>
    <row r="17" spans="1:9" ht="24.6" thickBot="1">
      <c r="A17" s="592"/>
      <c r="B17" s="5" t="s">
        <v>132</v>
      </c>
      <c r="C17" s="5" t="s">
        <v>133</v>
      </c>
      <c r="D17" s="53"/>
      <c r="E17" s="53"/>
      <c r="F17" s="53"/>
      <c r="G17" s="54"/>
      <c r="H17" s="54"/>
      <c r="I17" s="54"/>
    </row>
    <row r="18" spans="1:9" ht="36.6" thickBot="1">
      <c r="A18" s="593"/>
      <c r="B18" s="5" t="s">
        <v>134</v>
      </c>
      <c r="C18" s="5" t="s">
        <v>135</v>
      </c>
      <c r="D18" s="53"/>
      <c r="E18" s="53"/>
      <c r="F18" s="53"/>
      <c r="G18" s="54"/>
      <c r="H18" s="54"/>
      <c r="I18" s="54"/>
    </row>
    <row r="19" spans="1:9" ht="48.6" thickBot="1">
      <c r="A19" s="591" t="s">
        <v>136</v>
      </c>
      <c r="B19" s="5" t="s">
        <v>137</v>
      </c>
      <c r="C19" s="5" t="s">
        <v>138</v>
      </c>
      <c r="D19" s="53"/>
      <c r="E19" s="53"/>
      <c r="F19" s="53"/>
      <c r="G19" s="54"/>
      <c r="H19" s="54"/>
      <c r="I19" s="54"/>
    </row>
    <row r="20" spans="1:9" ht="24.6" thickBot="1">
      <c r="A20" s="592"/>
      <c r="B20" s="5" t="s">
        <v>139</v>
      </c>
      <c r="C20" s="5" t="s">
        <v>140</v>
      </c>
      <c r="D20" s="54">
        <f>'Таблица-3'!F9+'Таблица-3'!F10</f>
        <v>21</v>
      </c>
      <c r="E20" s="54">
        <f>'Таблица-3'!L9+'Таблица-3'!L10</f>
        <v>20</v>
      </c>
      <c r="F20" s="54">
        <f>'Таблица-3'!S9+'Таблица-3'!S10</f>
        <v>15</v>
      </c>
      <c r="G20" s="63">
        <f>'Таблица-5'!F9+'Таблица-5'!F10</f>
        <v>2139430.7999999998</v>
      </c>
      <c r="H20" s="63">
        <f>'Таблица-5'!I9+'Таблица-5'!I10</f>
        <v>2090323.2899999996</v>
      </c>
      <c r="I20" s="63">
        <f>'Таблица-5'!Q9+'Таблица-5'!Q10</f>
        <v>1817931.8699999999</v>
      </c>
    </row>
    <row r="21" spans="1:9" ht="48.6" thickBot="1">
      <c r="A21" s="593"/>
      <c r="B21" s="5" t="s">
        <v>141</v>
      </c>
      <c r="C21" s="5" t="s">
        <v>142</v>
      </c>
      <c r="D21" s="53"/>
      <c r="E21" s="53"/>
      <c r="F21" s="53"/>
      <c r="G21" s="53"/>
      <c r="H21" s="53"/>
      <c r="I21" s="53"/>
    </row>
    <row r="22" spans="1:9" ht="15" thickBot="1">
      <c r="A22" s="10"/>
      <c r="B22" s="5" t="s">
        <v>143</v>
      </c>
      <c r="C22" s="5" t="s">
        <v>144</v>
      </c>
      <c r="D22" s="53"/>
      <c r="E22" s="53"/>
      <c r="F22" s="53"/>
      <c r="G22" s="53"/>
      <c r="H22" s="53"/>
      <c r="I22" s="53"/>
    </row>
    <row r="23" spans="1:9">
      <c r="D23">
        <f>SUM(D4:D22)</f>
        <v>69</v>
      </c>
      <c r="E23">
        <f>SUM(E4:E22)</f>
        <v>63</v>
      </c>
      <c r="F23">
        <f>SUM(F4:F22)</f>
        <v>49</v>
      </c>
      <c r="G23" s="436">
        <f t="shared" ref="G23:H23" si="0">SUM(G4:G22)</f>
        <v>4679440.1789999995</v>
      </c>
      <c r="H23" s="436">
        <f t="shared" si="0"/>
        <v>4517673.9120000005</v>
      </c>
      <c r="I23">
        <f>SUM(I4:I22)</f>
        <v>3392056.7170000002</v>
      </c>
    </row>
    <row r="24" spans="1:9" ht="30" customHeight="1">
      <c r="A24" s="590"/>
      <c r="B24" s="590"/>
      <c r="C24" s="590"/>
      <c r="D24" s="590"/>
      <c r="E24" s="590"/>
      <c r="F24" s="590"/>
      <c r="G24" s="590"/>
      <c r="H24" s="590"/>
      <c r="I24" s="590"/>
    </row>
  </sheetData>
  <mergeCells count="10">
    <mergeCell ref="A24:I24"/>
    <mergeCell ref="A14:A18"/>
    <mergeCell ref="A19:A21"/>
    <mergeCell ref="A1:I1"/>
    <mergeCell ref="B2:C2"/>
    <mergeCell ref="B3:C3"/>
    <mergeCell ref="A4:A6"/>
    <mergeCell ref="A7:A8"/>
    <mergeCell ref="A9:A10"/>
    <mergeCell ref="A11:A13"/>
  </mergeCells>
  <pageMargins left="0.7" right="0.7" top="0.75" bottom="0.75" header="0.3" footer="0.3"/>
  <pageSetup paperSize="9" scale="62" orientation="portrait" verticalDpi="4294967294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view="pageBreakPreview" zoomScale="80" zoomScaleNormal="90" zoomScaleSheetLayoutView="80" workbookViewId="0">
      <selection activeCell="I46" sqref="I46:I64"/>
    </sheetView>
  </sheetViews>
  <sheetFormatPr defaultRowHeight="14.4"/>
  <cols>
    <col min="1" max="1" width="34.6640625" customWidth="1"/>
    <col min="3" max="3" width="34.33203125" customWidth="1"/>
    <col min="5" max="5" width="33" customWidth="1"/>
    <col min="6" max="6" width="31.33203125" customWidth="1"/>
    <col min="7" max="7" width="17.5546875" customWidth="1"/>
    <col min="8" max="8" width="17.88671875" customWidth="1"/>
  </cols>
  <sheetData>
    <row r="1" spans="1:8" ht="15" thickBot="1">
      <c r="A1" s="523" t="s">
        <v>195</v>
      </c>
      <c r="B1" s="523"/>
      <c r="C1" s="523"/>
      <c r="D1" s="523"/>
      <c r="E1" s="523"/>
      <c r="F1" s="523"/>
      <c r="G1" s="523"/>
      <c r="H1" s="523"/>
    </row>
    <row r="2" spans="1:8">
      <c r="A2" s="532" t="s">
        <v>145</v>
      </c>
      <c r="B2" s="583" t="s">
        <v>146</v>
      </c>
      <c r="C2" s="601"/>
      <c r="D2" s="583" t="s">
        <v>147</v>
      </c>
      <c r="E2" s="601"/>
      <c r="F2" s="532" t="s">
        <v>0</v>
      </c>
      <c r="G2" s="30" t="s">
        <v>148</v>
      </c>
      <c r="H2" s="30" t="s">
        <v>148</v>
      </c>
    </row>
    <row r="3" spans="1:8">
      <c r="A3" s="600"/>
      <c r="B3" s="602"/>
      <c r="C3" s="603"/>
      <c r="D3" s="602"/>
      <c r="E3" s="603"/>
      <c r="F3" s="600"/>
      <c r="G3" s="43" t="s">
        <v>149</v>
      </c>
      <c r="H3" s="43" t="s">
        <v>149</v>
      </c>
    </row>
    <row r="4" spans="1:8" ht="34.799999999999997" thickBot="1">
      <c r="A4" s="533"/>
      <c r="B4" s="584"/>
      <c r="C4" s="604"/>
      <c r="D4" s="584"/>
      <c r="E4" s="604"/>
      <c r="F4" s="533"/>
      <c r="G4" s="31" t="s">
        <v>150</v>
      </c>
      <c r="H4" s="31" t="s">
        <v>151</v>
      </c>
    </row>
    <row r="5" spans="1:8" ht="15" thickBot="1">
      <c r="A5" s="34">
        <v>1</v>
      </c>
      <c r="B5" s="33">
        <v>2</v>
      </c>
      <c r="C5" s="33">
        <v>3</v>
      </c>
      <c r="D5" s="33">
        <v>4</v>
      </c>
      <c r="E5" s="33">
        <v>5</v>
      </c>
      <c r="F5" s="33">
        <v>6</v>
      </c>
      <c r="G5" s="33">
        <v>7</v>
      </c>
      <c r="H5" s="33"/>
    </row>
    <row r="6" spans="1:8" ht="84.6" thickBot="1">
      <c r="A6" s="10" t="s">
        <v>152</v>
      </c>
      <c r="B6" s="5" t="s">
        <v>153</v>
      </c>
      <c r="C6" s="5" t="s">
        <v>154</v>
      </c>
      <c r="D6" s="5" t="s">
        <v>104</v>
      </c>
      <c r="E6" s="5" t="s">
        <v>155</v>
      </c>
      <c r="F6" s="5" t="s">
        <v>156</v>
      </c>
      <c r="G6" s="4">
        <v>0</v>
      </c>
      <c r="H6" s="5">
        <v>0</v>
      </c>
    </row>
    <row r="7" spans="1:8" ht="60.6" customHeight="1" thickBot="1">
      <c r="A7" s="10" t="s">
        <v>157</v>
      </c>
      <c r="B7" s="5" t="s">
        <v>153</v>
      </c>
      <c r="C7" s="5" t="s">
        <v>154</v>
      </c>
      <c r="D7" s="5" t="s">
        <v>106</v>
      </c>
      <c r="E7" s="5" t="s">
        <v>158</v>
      </c>
      <c r="F7" s="5" t="s">
        <v>159</v>
      </c>
      <c r="G7" s="62">
        <v>0</v>
      </c>
      <c r="H7" s="54">
        <v>0</v>
      </c>
    </row>
    <row r="8" spans="1:8" ht="100.5" customHeight="1" thickBot="1">
      <c r="A8" s="591" t="s">
        <v>160</v>
      </c>
      <c r="B8" s="5" t="s">
        <v>161</v>
      </c>
      <c r="C8" s="5" t="s">
        <v>162</v>
      </c>
      <c r="D8" s="5" t="s">
        <v>109</v>
      </c>
      <c r="E8" s="5" t="s">
        <v>163</v>
      </c>
      <c r="F8" s="5" t="s">
        <v>164</v>
      </c>
      <c r="G8" s="4">
        <f>'Таблица-3'!N26</f>
        <v>62</v>
      </c>
      <c r="H8" s="5">
        <f>'Таблица-3'!S26</f>
        <v>49</v>
      </c>
    </row>
    <row r="9" spans="1:8" ht="88.5" customHeight="1" thickBot="1">
      <c r="A9" s="592"/>
      <c r="B9" s="5" t="s">
        <v>161</v>
      </c>
      <c r="C9" s="5" t="s">
        <v>162</v>
      </c>
      <c r="D9" s="5" t="s">
        <v>111</v>
      </c>
      <c r="E9" s="5" t="s">
        <v>165</v>
      </c>
      <c r="F9" s="5" t="s">
        <v>164</v>
      </c>
      <c r="G9" s="4">
        <v>0</v>
      </c>
      <c r="H9" s="5">
        <v>0</v>
      </c>
    </row>
    <row r="10" spans="1:8" ht="117.75" customHeight="1" thickBot="1">
      <c r="A10" s="592"/>
      <c r="B10" s="5" t="s">
        <v>166</v>
      </c>
      <c r="C10" s="5" t="s">
        <v>167</v>
      </c>
      <c r="D10" s="5" t="s">
        <v>114</v>
      </c>
      <c r="E10" s="5" t="s">
        <v>168</v>
      </c>
      <c r="F10" s="5" t="s">
        <v>164</v>
      </c>
      <c r="G10" s="4">
        <v>0</v>
      </c>
      <c r="H10" s="5">
        <v>0</v>
      </c>
    </row>
    <row r="11" spans="1:8" ht="96.6" customHeight="1" thickBot="1">
      <c r="A11" s="593"/>
      <c r="B11" s="5" t="s">
        <v>166</v>
      </c>
      <c r="C11" s="5" t="s">
        <v>167</v>
      </c>
      <c r="D11" s="5" t="s">
        <v>116</v>
      </c>
      <c r="E11" s="5" t="s">
        <v>169</v>
      </c>
      <c r="F11" s="5" t="s">
        <v>164</v>
      </c>
      <c r="G11" s="4">
        <v>0</v>
      </c>
      <c r="H11" s="5">
        <v>0</v>
      </c>
    </row>
    <row r="12" spans="1:8" ht="105" customHeight="1" thickBot="1">
      <c r="A12" s="591" t="s">
        <v>170</v>
      </c>
      <c r="B12" s="5" t="s">
        <v>171</v>
      </c>
      <c r="C12" s="5" t="s">
        <v>172</v>
      </c>
      <c r="D12" s="5" t="s">
        <v>119</v>
      </c>
      <c r="E12" s="5" t="s">
        <v>173</v>
      </c>
      <c r="F12" s="5" t="s">
        <v>174</v>
      </c>
      <c r="G12" s="4">
        <v>0</v>
      </c>
      <c r="H12" s="5">
        <v>0</v>
      </c>
    </row>
    <row r="13" spans="1:8" ht="132" customHeight="1" thickBot="1">
      <c r="A13" s="592"/>
      <c r="B13" s="33" t="s">
        <v>171</v>
      </c>
      <c r="C13" s="5" t="s">
        <v>172</v>
      </c>
      <c r="D13" s="33" t="s">
        <v>119</v>
      </c>
      <c r="E13" s="44" t="s">
        <v>175</v>
      </c>
      <c r="F13" s="44" t="s">
        <v>174</v>
      </c>
      <c r="G13" s="4">
        <v>0</v>
      </c>
      <c r="H13" s="5">
        <v>0</v>
      </c>
    </row>
    <row r="14" spans="1:8" ht="71.400000000000006" customHeight="1" thickBot="1">
      <c r="A14" s="592"/>
      <c r="B14" s="33" t="s">
        <v>171</v>
      </c>
      <c r="C14" s="5" t="s">
        <v>172</v>
      </c>
      <c r="D14" s="33" t="s">
        <v>121</v>
      </c>
      <c r="E14" s="5" t="s">
        <v>176</v>
      </c>
      <c r="F14" s="44" t="s">
        <v>174</v>
      </c>
      <c r="G14" s="4">
        <v>0</v>
      </c>
      <c r="H14" s="5">
        <v>0</v>
      </c>
    </row>
    <row r="15" spans="1:8" ht="60" customHeight="1" thickBot="1">
      <c r="A15" s="592"/>
      <c r="B15" s="33" t="s">
        <v>171</v>
      </c>
      <c r="C15" s="5" t="s">
        <v>172</v>
      </c>
      <c r="D15" s="33" t="s">
        <v>121</v>
      </c>
      <c r="E15" s="5" t="s">
        <v>177</v>
      </c>
      <c r="F15" s="44" t="s">
        <v>174</v>
      </c>
      <c r="G15" s="4">
        <v>0</v>
      </c>
      <c r="H15" s="5">
        <v>0</v>
      </c>
    </row>
    <row r="16" spans="1:8" ht="71.400000000000006" customHeight="1" thickBot="1">
      <c r="A16" s="592"/>
      <c r="B16" s="33" t="s">
        <v>171</v>
      </c>
      <c r="C16" s="5" t="s">
        <v>172</v>
      </c>
      <c r="D16" s="33" t="s">
        <v>123</v>
      </c>
      <c r="E16" s="44" t="s">
        <v>178</v>
      </c>
      <c r="F16" s="44" t="s">
        <v>174</v>
      </c>
      <c r="G16" s="4">
        <v>0</v>
      </c>
      <c r="H16" s="5">
        <v>0</v>
      </c>
    </row>
    <row r="17" spans="1:8" ht="60" customHeight="1" thickBot="1">
      <c r="A17" s="592"/>
      <c r="B17" s="33" t="s">
        <v>171</v>
      </c>
      <c r="C17" s="5" t="s">
        <v>172</v>
      </c>
      <c r="D17" s="33" t="s">
        <v>123</v>
      </c>
      <c r="E17" s="44" t="s">
        <v>179</v>
      </c>
      <c r="F17" s="44" t="s">
        <v>174</v>
      </c>
      <c r="G17" s="4">
        <v>0</v>
      </c>
      <c r="H17" s="5">
        <v>0</v>
      </c>
    </row>
    <row r="18" spans="1:8" ht="24" customHeight="1" thickBot="1">
      <c r="A18" s="592"/>
      <c r="B18" s="596" t="s">
        <v>180</v>
      </c>
      <c r="C18" s="591" t="s">
        <v>181</v>
      </c>
      <c r="D18" s="596" t="s">
        <v>126</v>
      </c>
      <c r="E18" s="598" t="s">
        <v>182</v>
      </c>
      <c r="F18" s="45" t="s">
        <v>183</v>
      </c>
      <c r="G18" s="4">
        <v>0</v>
      </c>
      <c r="H18" s="5">
        <v>0</v>
      </c>
    </row>
    <row r="19" spans="1:8" ht="48.6" customHeight="1" thickBot="1">
      <c r="A19" s="593"/>
      <c r="B19" s="597"/>
      <c r="C19" s="593"/>
      <c r="D19" s="597"/>
      <c r="E19" s="599"/>
      <c r="F19" s="46" t="s">
        <v>184</v>
      </c>
      <c r="G19" s="4">
        <v>0</v>
      </c>
      <c r="H19" s="5">
        <v>0</v>
      </c>
    </row>
    <row r="20" spans="1:8" ht="24" customHeight="1" thickBot="1">
      <c r="A20" s="591" t="s">
        <v>185</v>
      </c>
      <c r="B20" s="596" t="s">
        <v>180</v>
      </c>
      <c r="C20" s="591" t="s">
        <v>181</v>
      </c>
      <c r="D20" s="596" t="s">
        <v>128</v>
      </c>
      <c r="E20" s="598" t="s">
        <v>186</v>
      </c>
      <c r="F20" s="45" t="s">
        <v>187</v>
      </c>
      <c r="G20" s="4">
        <v>0</v>
      </c>
      <c r="H20" s="5">
        <v>0</v>
      </c>
    </row>
    <row r="21" spans="1:8" ht="108.6" customHeight="1" thickBot="1">
      <c r="A21" s="592"/>
      <c r="B21" s="597"/>
      <c r="C21" s="593"/>
      <c r="D21" s="597"/>
      <c r="E21" s="599"/>
      <c r="F21" s="46" t="s">
        <v>188</v>
      </c>
      <c r="G21" s="4">
        <v>0</v>
      </c>
      <c r="H21" s="5">
        <v>0</v>
      </c>
    </row>
    <row r="22" spans="1:8" ht="24" customHeight="1" thickBot="1">
      <c r="A22" s="592"/>
      <c r="B22" s="596" t="s">
        <v>180</v>
      </c>
      <c r="C22" s="591" t="s">
        <v>181</v>
      </c>
      <c r="D22" s="596" t="s">
        <v>130</v>
      </c>
      <c r="E22" s="598" t="s">
        <v>189</v>
      </c>
      <c r="F22" s="45" t="s">
        <v>187</v>
      </c>
      <c r="G22" s="4">
        <v>0</v>
      </c>
      <c r="H22" s="5">
        <v>0</v>
      </c>
    </row>
    <row r="23" spans="1:8" ht="48.6" customHeight="1" thickBot="1">
      <c r="A23" s="593"/>
      <c r="B23" s="597"/>
      <c r="C23" s="593"/>
      <c r="D23" s="597"/>
      <c r="E23" s="599"/>
      <c r="F23" s="46" t="s">
        <v>188</v>
      </c>
      <c r="G23" s="4">
        <v>0</v>
      </c>
      <c r="H23" s="5">
        <v>0</v>
      </c>
    </row>
    <row r="24" spans="1:8" ht="96.6" customHeight="1" thickBot="1">
      <c r="A24" s="10" t="s">
        <v>170</v>
      </c>
      <c r="B24" s="33" t="s">
        <v>180</v>
      </c>
      <c r="C24" s="5" t="s">
        <v>181</v>
      </c>
      <c r="D24" s="33" t="s">
        <v>132</v>
      </c>
      <c r="E24" s="44" t="s">
        <v>190</v>
      </c>
      <c r="F24" s="44" t="s">
        <v>191</v>
      </c>
      <c r="G24" s="4">
        <v>0</v>
      </c>
      <c r="H24" s="5">
        <v>0</v>
      </c>
    </row>
    <row r="25" spans="1:8" ht="96.6" customHeight="1" thickBot="1">
      <c r="A25" s="10" t="s">
        <v>192</v>
      </c>
      <c r="B25" s="33" t="s">
        <v>180</v>
      </c>
      <c r="C25" s="5" t="s">
        <v>181</v>
      </c>
      <c r="D25" s="33" t="s">
        <v>132</v>
      </c>
      <c r="E25" s="44" t="s">
        <v>190</v>
      </c>
      <c r="F25" s="44" t="s">
        <v>193</v>
      </c>
      <c r="G25" s="4">
        <v>0</v>
      </c>
      <c r="H25" s="5">
        <v>0</v>
      </c>
    </row>
    <row r="26" spans="1:8" ht="96.6" customHeight="1" thickBot="1">
      <c r="A26" s="10" t="s">
        <v>170</v>
      </c>
      <c r="B26" s="33" t="s">
        <v>180</v>
      </c>
      <c r="C26" s="5" t="s">
        <v>181</v>
      </c>
      <c r="D26" s="33" t="s">
        <v>134</v>
      </c>
      <c r="E26" s="44" t="s">
        <v>194</v>
      </c>
      <c r="F26" s="44" t="s">
        <v>191</v>
      </c>
      <c r="G26" s="4">
        <v>0</v>
      </c>
      <c r="H26" s="5">
        <v>0</v>
      </c>
    </row>
  </sheetData>
  <mergeCells count="20">
    <mergeCell ref="A1:H1"/>
    <mergeCell ref="A20:A23"/>
    <mergeCell ref="B20:B21"/>
    <mergeCell ref="C20:C21"/>
    <mergeCell ref="D20:D21"/>
    <mergeCell ref="E20:E21"/>
    <mergeCell ref="B22:B23"/>
    <mergeCell ref="A2:A4"/>
    <mergeCell ref="B2:C4"/>
    <mergeCell ref="D2:E4"/>
    <mergeCell ref="F2:F4"/>
    <mergeCell ref="A8:A11"/>
    <mergeCell ref="A12:A19"/>
    <mergeCell ref="B18:B19"/>
    <mergeCell ref="C18:C19"/>
    <mergeCell ref="D18:D19"/>
    <mergeCell ref="E18:E19"/>
    <mergeCell ref="C22:C23"/>
    <mergeCell ref="D22:D23"/>
    <mergeCell ref="E22:E23"/>
  </mergeCells>
  <pageMargins left="0.7" right="0.7" top="0.75" bottom="0.75" header="0.3" footer="0.3"/>
  <pageSetup paperSize="9" scale="41" orientation="portrait" verticalDpi="4294967294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41"/>
  <sheetViews>
    <sheetView view="pageBreakPreview" topLeftCell="A7" zoomScaleNormal="100" zoomScaleSheetLayoutView="100" workbookViewId="0">
      <selection activeCell="I46" sqref="I46:I64"/>
    </sheetView>
  </sheetViews>
  <sheetFormatPr defaultRowHeight="14.4"/>
  <cols>
    <col min="1" max="1" width="18.6640625" customWidth="1"/>
    <col min="2" max="2" width="15.109375" customWidth="1"/>
    <col min="13" max="13" width="11" bestFit="1" customWidth="1"/>
    <col min="16" max="16" width="10.109375" bestFit="1" customWidth="1"/>
  </cols>
  <sheetData>
    <row r="1" spans="1:16" ht="15" thickBot="1">
      <c r="A1" s="523" t="s">
        <v>539</v>
      </c>
      <c r="B1" s="523"/>
      <c r="C1" s="523"/>
      <c r="D1" s="523"/>
      <c r="E1" s="523"/>
      <c r="F1" s="523"/>
      <c r="G1" s="523"/>
      <c r="H1" s="523"/>
      <c r="I1" s="523"/>
      <c r="J1" s="523"/>
      <c r="K1" s="523"/>
      <c r="L1" s="523"/>
      <c r="M1" s="523"/>
      <c r="N1" s="523"/>
      <c r="O1" s="523"/>
      <c r="P1" s="523"/>
    </row>
    <row r="2" spans="1:16" ht="23.4" thickBot="1">
      <c r="A2" s="532" t="s">
        <v>197</v>
      </c>
      <c r="B2" s="30" t="s">
        <v>44</v>
      </c>
      <c r="C2" s="529" t="s">
        <v>46</v>
      </c>
      <c r="D2" s="530"/>
      <c r="E2" s="529" t="s">
        <v>47</v>
      </c>
      <c r="F2" s="530"/>
      <c r="G2" s="529" t="s">
        <v>48</v>
      </c>
      <c r="H2" s="530"/>
      <c r="I2" s="529" t="s">
        <v>49</v>
      </c>
      <c r="J2" s="530"/>
      <c r="K2" s="529" t="s">
        <v>50</v>
      </c>
      <c r="L2" s="530"/>
      <c r="M2" s="30" t="s">
        <v>51</v>
      </c>
      <c r="N2" s="529" t="s">
        <v>53</v>
      </c>
      <c r="O2" s="530"/>
      <c r="P2" s="30" t="s">
        <v>54</v>
      </c>
    </row>
    <row r="3" spans="1:16" ht="36.6" thickBot="1">
      <c r="A3" s="533"/>
      <c r="B3" s="31" t="s">
        <v>45</v>
      </c>
      <c r="C3" s="33" t="s">
        <v>56</v>
      </c>
      <c r="D3" s="33" t="s">
        <v>57</v>
      </c>
      <c r="E3" s="33" t="s">
        <v>58</v>
      </c>
      <c r="F3" s="359" t="s">
        <v>57</v>
      </c>
      <c r="G3" s="33" t="s">
        <v>58</v>
      </c>
      <c r="H3" s="33" t="s">
        <v>57</v>
      </c>
      <c r="I3" s="33" t="s">
        <v>56</v>
      </c>
      <c r="J3" s="33" t="s">
        <v>57</v>
      </c>
      <c r="K3" s="33" t="s">
        <v>58</v>
      </c>
      <c r="L3" s="33" t="s">
        <v>57</v>
      </c>
      <c r="M3" s="32" t="s">
        <v>52</v>
      </c>
      <c r="N3" s="33" t="s">
        <v>58</v>
      </c>
      <c r="O3" s="33" t="s">
        <v>57</v>
      </c>
      <c r="P3" s="32" t="s">
        <v>55</v>
      </c>
    </row>
    <row r="4" spans="1:16" ht="15" thickBot="1">
      <c r="A4" s="34">
        <v>1</v>
      </c>
      <c r="B4" s="33">
        <v>2</v>
      </c>
      <c r="C4" s="33">
        <v>3</v>
      </c>
      <c r="D4" s="33">
        <v>4</v>
      </c>
      <c r="E4" s="33">
        <v>5</v>
      </c>
      <c r="F4" s="359">
        <v>6</v>
      </c>
      <c r="G4" s="33">
        <v>7</v>
      </c>
      <c r="H4" s="33">
        <v>8</v>
      </c>
      <c r="I4" s="33">
        <v>9</v>
      </c>
      <c r="J4" s="33">
        <v>10</v>
      </c>
      <c r="K4" s="33">
        <v>11</v>
      </c>
      <c r="L4" s="33">
        <v>12</v>
      </c>
      <c r="M4" s="33">
        <v>13</v>
      </c>
      <c r="N4" s="33">
        <v>14</v>
      </c>
      <c r="O4" s="33">
        <v>15</v>
      </c>
      <c r="P4" s="33">
        <v>16</v>
      </c>
    </row>
    <row r="5" spans="1:16" ht="15" thickBot="1">
      <c r="A5" s="47" t="s">
        <v>198</v>
      </c>
      <c r="B5" s="50"/>
      <c r="C5" s="5"/>
      <c r="D5" s="5"/>
      <c r="E5" s="5"/>
      <c r="F5" s="54"/>
      <c r="G5" s="5"/>
      <c r="H5" s="5"/>
      <c r="I5" s="5"/>
      <c r="J5" s="5"/>
      <c r="K5" s="5"/>
      <c r="L5" s="5"/>
      <c r="M5" s="55"/>
      <c r="N5" s="5"/>
      <c r="O5" s="5"/>
      <c r="P5" s="5"/>
    </row>
    <row r="6" spans="1:16" ht="15" thickBot="1">
      <c r="A6" s="47" t="s">
        <v>199</v>
      </c>
      <c r="B6" s="50"/>
      <c r="C6" s="5"/>
      <c r="D6" s="5"/>
      <c r="E6" s="5"/>
      <c r="F6" s="54"/>
      <c r="G6" s="54"/>
      <c r="H6" s="5"/>
      <c r="I6" s="5"/>
      <c r="J6" s="5"/>
      <c r="K6" s="5"/>
      <c r="L6" s="5"/>
      <c r="M6" s="55"/>
      <c r="N6" s="5"/>
      <c r="O6" s="5"/>
      <c r="P6" s="5"/>
    </row>
    <row r="7" spans="1:16" ht="15" thickBot="1">
      <c r="A7" s="10" t="s">
        <v>200</v>
      </c>
      <c r="B7" s="50">
        <v>0</v>
      </c>
      <c r="C7" s="5"/>
      <c r="D7" s="5"/>
      <c r="E7" s="5"/>
      <c r="F7" s="54"/>
      <c r="G7" s="54"/>
      <c r="H7" s="5"/>
      <c r="I7" s="5"/>
      <c r="J7" s="5"/>
      <c r="K7" s="5"/>
      <c r="L7" s="5"/>
      <c r="M7" s="55"/>
      <c r="N7" s="5"/>
      <c r="O7" s="5"/>
      <c r="P7" s="5"/>
    </row>
    <row r="8" spans="1:16" ht="25.95" customHeight="1" thickBot="1">
      <c r="A8" s="10" t="s">
        <v>201</v>
      </c>
      <c r="B8" s="605">
        <v>18</v>
      </c>
      <c r="C8" s="54">
        <v>3</v>
      </c>
      <c r="D8" s="54">
        <f>18+C8</f>
        <v>21</v>
      </c>
      <c r="E8" s="54">
        <v>2</v>
      </c>
      <c r="F8" s="54">
        <v>20</v>
      </c>
      <c r="G8" s="54">
        <v>2</v>
      </c>
      <c r="H8" s="54">
        <v>20</v>
      </c>
      <c r="I8" s="54">
        <v>2</v>
      </c>
      <c r="J8" s="54">
        <v>19</v>
      </c>
      <c r="K8" s="54">
        <v>1</v>
      </c>
      <c r="L8" s="54">
        <v>18</v>
      </c>
      <c r="M8" s="607">
        <f>L8/B8%</f>
        <v>100</v>
      </c>
      <c r="N8" s="54">
        <v>6</v>
      </c>
      <c r="O8" s="54">
        <v>14</v>
      </c>
      <c r="P8" s="609">
        <f>O8/B8*100</f>
        <v>77.777777777777786</v>
      </c>
    </row>
    <row r="9" spans="1:16" ht="15" thickBot="1">
      <c r="A9" s="10" t="s">
        <v>202</v>
      </c>
      <c r="B9" s="606"/>
      <c r="C9" s="54">
        <v>0</v>
      </c>
      <c r="D9" s="54">
        <v>1</v>
      </c>
      <c r="E9" s="54">
        <v>0</v>
      </c>
      <c r="F9" s="54">
        <v>1</v>
      </c>
      <c r="G9" s="54">
        <v>0</v>
      </c>
      <c r="H9" s="54">
        <v>1</v>
      </c>
      <c r="I9" s="54">
        <v>0</v>
      </c>
      <c r="J9" s="54">
        <v>1</v>
      </c>
      <c r="K9" s="54">
        <v>0</v>
      </c>
      <c r="L9" s="54">
        <v>1</v>
      </c>
      <c r="M9" s="608"/>
      <c r="N9" s="54">
        <v>1</v>
      </c>
      <c r="O9" s="54">
        <v>1</v>
      </c>
      <c r="P9" s="610"/>
    </row>
    <row r="10" spans="1:16" ht="15" thickBot="1">
      <c r="A10" s="10" t="s">
        <v>203</v>
      </c>
      <c r="B10" s="50"/>
      <c r="C10" s="54"/>
      <c r="D10" s="54"/>
      <c r="E10" s="54"/>
      <c r="F10" s="54"/>
      <c r="G10" s="54">
        <f t="shared" ref="G10:G19" si="0">E10</f>
        <v>0</v>
      </c>
      <c r="H10" s="54"/>
      <c r="I10" s="54"/>
      <c r="J10" s="54"/>
      <c r="K10" s="54"/>
      <c r="L10" s="54"/>
      <c r="M10" s="55"/>
      <c r="N10" s="54"/>
      <c r="O10" s="54"/>
      <c r="P10" s="54"/>
    </row>
    <row r="11" spans="1:16" ht="15" thickBot="1">
      <c r="A11" s="47" t="s">
        <v>204</v>
      </c>
      <c r="B11" s="50"/>
      <c r="C11" s="54"/>
      <c r="D11" s="54"/>
      <c r="E11" s="54"/>
      <c r="F11" s="54"/>
      <c r="G11" s="54">
        <f t="shared" si="0"/>
        <v>0</v>
      </c>
      <c r="H11" s="54"/>
      <c r="I11" s="54"/>
      <c r="J11" s="54"/>
      <c r="K11" s="54"/>
      <c r="L11" s="54"/>
      <c r="M11" s="55"/>
      <c r="N11" s="54"/>
      <c r="O11" s="54"/>
      <c r="P11" s="54"/>
    </row>
    <row r="12" spans="1:16" ht="24.6" thickBot="1">
      <c r="A12" s="10" t="s">
        <v>205</v>
      </c>
      <c r="B12" s="50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5"/>
      <c r="N12" s="54"/>
      <c r="O12" s="54"/>
      <c r="P12" s="54"/>
    </row>
    <row r="13" spans="1:16" ht="36.6" thickBot="1">
      <c r="A13" s="10" t="s">
        <v>206</v>
      </c>
      <c r="B13" s="50">
        <v>36</v>
      </c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394">
        <f>(L14+L15+L17+L18)/B13*100</f>
        <v>119.44444444444444</v>
      </c>
      <c r="N13" s="54"/>
      <c r="O13" s="54"/>
      <c r="P13" s="395">
        <f>(O14+O15+O18)/B13*100</f>
        <v>83.333333333333343</v>
      </c>
    </row>
    <row r="14" spans="1:16" ht="15" thickBot="1">
      <c r="A14" s="358" t="s">
        <v>538</v>
      </c>
      <c r="B14" s="50"/>
      <c r="C14" s="54">
        <v>3</v>
      </c>
      <c r="D14" s="54">
        <v>24</v>
      </c>
      <c r="E14" s="54">
        <v>3</v>
      </c>
      <c r="F14" s="54">
        <v>24</v>
      </c>
      <c r="G14" s="54">
        <v>3</v>
      </c>
      <c r="H14" s="54">
        <v>24</v>
      </c>
      <c r="I14" s="54">
        <v>3</v>
      </c>
      <c r="J14" s="54">
        <v>23</v>
      </c>
      <c r="K14" s="54">
        <v>2</v>
      </c>
      <c r="L14" s="54">
        <v>23</v>
      </c>
      <c r="M14" s="79"/>
      <c r="N14" s="54">
        <v>5</v>
      </c>
      <c r="O14" s="54">
        <v>22</v>
      </c>
      <c r="P14" s="54">
        <v>0</v>
      </c>
    </row>
    <row r="15" spans="1:16" ht="15" thickBot="1">
      <c r="A15" s="358" t="s">
        <v>208</v>
      </c>
      <c r="B15" s="50"/>
      <c r="C15" s="54">
        <v>0</v>
      </c>
      <c r="D15" s="54">
        <v>2</v>
      </c>
      <c r="E15" s="54">
        <v>0</v>
      </c>
      <c r="F15" s="54">
        <v>2</v>
      </c>
      <c r="G15" s="54">
        <f t="shared" si="0"/>
        <v>0</v>
      </c>
      <c r="H15" s="54">
        <v>2</v>
      </c>
      <c r="I15" s="54">
        <v>0</v>
      </c>
      <c r="J15" s="54">
        <v>2</v>
      </c>
      <c r="K15" s="54">
        <v>0</v>
      </c>
      <c r="L15" s="54">
        <v>2</v>
      </c>
      <c r="M15" s="79"/>
      <c r="N15" s="54">
        <v>1</v>
      </c>
      <c r="O15" s="54">
        <v>2</v>
      </c>
      <c r="P15" s="53"/>
    </row>
    <row r="16" spans="1:16" ht="24.6" thickBot="1">
      <c r="A16" s="48" t="s">
        <v>209</v>
      </c>
      <c r="B16" s="50"/>
      <c r="C16" s="54"/>
      <c r="D16" s="54"/>
      <c r="E16" s="54"/>
      <c r="F16" s="54"/>
      <c r="G16" s="54">
        <f t="shared" si="0"/>
        <v>0</v>
      </c>
      <c r="H16" s="54"/>
      <c r="I16" s="54"/>
      <c r="J16" s="54"/>
      <c r="K16" s="54"/>
      <c r="L16" s="54"/>
      <c r="M16" s="55"/>
      <c r="N16" s="53"/>
      <c r="O16" s="53"/>
      <c r="P16" s="53"/>
    </row>
    <row r="17" spans="1:16" ht="15" thickBot="1">
      <c r="A17" s="10" t="s">
        <v>273</v>
      </c>
      <c r="B17" s="50"/>
      <c r="C17" s="54">
        <v>0</v>
      </c>
      <c r="D17" s="54">
        <v>10</v>
      </c>
      <c r="E17" s="54">
        <v>0</v>
      </c>
      <c r="F17" s="54">
        <v>7</v>
      </c>
      <c r="G17" s="54">
        <v>0</v>
      </c>
      <c r="H17" s="54">
        <v>7</v>
      </c>
      <c r="I17" s="54">
        <v>0</v>
      </c>
      <c r="J17" s="54">
        <v>7</v>
      </c>
      <c r="K17" s="54">
        <v>2</v>
      </c>
      <c r="L17" s="54">
        <v>6</v>
      </c>
      <c r="M17" s="55">
        <v>0</v>
      </c>
      <c r="N17" s="54">
        <v>1</v>
      </c>
      <c r="O17" s="54">
        <v>4</v>
      </c>
      <c r="P17" s="53"/>
    </row>
    <row r="18" spans="1:16" ht="15" thickBot="1">
      <c r="A18" s="10" t="s">
        <v>274</v>
      </c>
      <c r="B18" s="50"/>
      <c r="C18" s="54">
        <v>2</v>
      </c>
      <c r="D18" s="54">
        <v>16</v>
      </c>
      <c r="E18" s="54">
        <v>2</v>
      </c>
      <c r="F18" s="54">
        <v>15</v>
      </c>
      <c r="G18" s="54">
        <v>2</v>
      </c>
      <c r="H18" s="54">
        <v>15</v>
      </c>
      <c r="I18" s="54">
        <v>4</v>
      </c>
      <c r="J18" s="54">
        <v>12</v>
      </c>
      <c r="K18" s="54">
        <v>3</v>
      </c>
      <c r="L18" s="54">
        <v>12</v>
      </c>
      <c r="M18" s="79">
        <v>0</v>
      </c>
      <c r="N18" s="54">
        <v>4</v>
      </c>
      <c r="O18" s="54">
        <v>6</v>
      </c>
      <c r="P18" s="53"/>
    </row>
    <row r="19" spans="1:16" ht="15" thickBot="1">
      <c r="A19" s="10" t="s">
        <v>210</v>
      </c>
      <c r="B19" s="50"/>
      <c r="C19" s="53"/>
      <c r="D19" s="53"/>
      <c r="E19" s="53"/>
      <c r="F19" s="54"/>
      <c r="G19" s="54">
        <f t="shared" si="0"/>
        <v>0</v>
      </c>
      <c r="H19" s="54"/>
      <c r="I19" s="53"/>
      <c r="J19" s="54"/>
      <c r="K19" s="53"/>
      <c r="L19" s="54"/>
      <c r="M19" s="55"/>
      <c r="N19" s="53"/>
      <c r="O19" s="53"/>
      <c r="P19" s="53"/>
    </row>
    <row r="20" spans="1:16" ht="15" thickBot="1">
      <c r="A20" s="35" t="s">
        <v>211</v>
      </c>
      <c r="B20" s="36">
        <f t="shared" ref="B20:K20" si="1">SUM(B7:B19)</f>
        <v>54</v>
      </c>
      <c r="C20" s="36">
        <f t="shared" si="1"/>
        <v>8</v>
      </c>
      <c r="D20" s="36">
        <f t="shared" si="1"/>
        <v>74</v>
      </c>
      <c r="E20" s="36">
        <f t="shared" si="1"/>
        <v>7</v>
      </c>
      <c r="F20" s="36">
        <f t="shared" si="1"/>
        <v>69</v>
      </c>
      <c r="G20" s="36">
        <f t="shared" si="1"/>
        <v>7</v>
      </c>
      <c r="H20" s="36">
        <f t="shared" si="1"/>
        <v>69</v>
      </c>
      <c r="I20" s="36">
        <f t="shared" si="1"/>
        <v>9</v>
      </c>
      <c r="J20" s="36">
        <f>SUM(J7:J19)</f>
        <v>64</v>
      </c>
      <c r="K20" s="36">
        <f t="shared" si="1"/>
        <v>8</v>
      </c>
      <c r="L20" s="36">
        <f t="shared" ref="L20" si="2">SUM(L7:L19)</f>
        <v>62</v>
      </c>
      <c r="M20" s="67">
        <f>L20/B20%</f>
        <v>114.81481481481481</v>
      </c>
      <c r="N20" s="36">
        <f>SUM(N7:N19)</f>
        <v>18</v>
      </c>
      <c r="O20" s="36">
        <f>SUM(O7:O19)</f>
        <v>49</v>
      </c>
      <c r="P20" s="67">
        <f>O20/B20*100</f>
        <v>90.740740740740748</v>
      </c>
    </row>
    <row r="21" spans="1:16" ht="15" hidden="1" thickBot="1">
      <c r="A21" s="4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77"/>
    </row>
    <row r="22" spans="1:16" ht="15" hidden="1" thickBot="1">
      <c r="A22" s="47" t="s">
        <v>212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77"/>
    </row>
    <row r="23" spans="1:16" ht="36.6" hidden="1" thickBot="1">
      <c r="A23" s="10" t="s">
        <v>213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77"/>
    </row>
    <row r="24" spans="1:16" ht="15" hidden="1" thickBot="1">
      <c r="A24" s="47" t="s">
        <v>214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77"/>
    </row>
    <row r="25" spans="1:16" ht="15" hidden="1" thickBot="1">
      <c r="A25" s="10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77"/>
    </row>
    <row r="26" spans="1:16" ht="15" hidden="1" thickBot="1">
      <c r="A26" s="47" t="s">
        <v>215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77"/>
    </row>
    <row r="27" spans="1:16" ht="36.6" hidden="1" thickBot="1">
      <c r="A27" s="10" t="s">
        <v>213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77"/>
    </row>
    <row r="28" spans="1:16" ht="15" hidden="1" thickBot="1">
      <c r="A28" s="47" t="s">
        <v>216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77"/>
    </row>
    <row r="29" spans="1:16" ht="15" hidden="1" thickBot="1">
      <c r="A29" s="48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77"/>
    </row>
    <row r="30" spans="1:16" ht="15" hidden="1" thickBot="1">
      <c r="A30" s="47" t="s">
        <v>217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77"/>
    </row>
    <row r="31" spans="1:16" ht="36.6" hidden="1" thickBot="1">
      <c r="A31" s="10" t="s">
        <v>213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77"/>
    </row>
    <row r="32" spans="1:16" ht="15" hidden="1" thickBot="1">
      <c r="A32" s="47" t="s">
        <v>218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77"/>
    </row>
    <row r="33" spans="1:16" ht="15" hidden="1" thickBot="1">
      <c r="A33" s="10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77"/>
    </row>
    <row r="34" spans="1:16" ht="15" hidden="1" thickBot="1">
      <c r="A34" s="47" t="s">
        <v>219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77"/>
    </row>
    <row r="35" spans="1:16" ht="36.6" hidden="1" thickBot="1">
      <c r="A35" s="10" t="s">
        <v>213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77"/>
    </row>
    <row r="36" spans="1:16" ht="15" hidden="1" thickBot="1">
      <c r="A36" s="47" t="s">
        <v>220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77"/>
    </row>
    <row r="37" spans="1:16" ht="15" hidden="1" thickBot="1">
      <c r="A37" s="10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77"/>
    </row>
    <row r="38" spans="1:16" ht="15" hidden="1" thickBot="1">
      <c r="A38" s="47" t="s">
        <v>221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77"/>
    </row>
    <row r="39" spans="1:16" ht="36.6" hidden="1" thickBot="1">
      <c r="A39" s="10" t="s">
        <v>213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77"/>
    </row>
    <row r="40" spans="1:16" ht="15" hidden="1" thickBot="1">
      <c r="A40" s="47" t="s">
        <v>222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77"/>
    </row>
    <row r="41" spans="1:16" s="61" customFormat="1" ht="15" thickBot="1">
      <c r="A41" s="47" t="s">
        <v>223</v>
      </c>
      <c r="B41" s="50">
        <f>B20</f>
        <v>54</v>
      </c>
      <c r="C41" s="50">
        <f t="shared" ref="C41" si="3">C20</f>
        <v>8</v>
      </c>
      <c r="D41" s="50">
        <f>D20</f>
        <v>74</v>
      </c>
      <c r="E41" s="50">
        <f t="shared" ref="E41:P41" si="4">E20</f>
        <v>7</v>
      </c>
      <c r="F41" s="50">
        <f t="shared" si="4"/>
        <v>69</v>
      </c>
      <c r="G41" s="50">
        <f t="shared" si="4"/>
        <v>7</v>
      </c>
      <c r="H41" s="50">
        <f t="shared" si="4"/>
        <v>69</v>
      </c>
      <c r="I41" s="50">
        <f t="shared" si="4"/>
        <v>9</v>
      </c>
      <c r="J41" s="50">
        <f t="shared" si="4"/>
        <v>64</v>
      </c>
      <c r="K41" s="55">
        <f t="shared" si="4"/>
        <v>8</v>
      </c>
      <c r="L41" s="55">
        <f t="shared" si="4"/>
        <v>62</v>
      </c>
      <c r="M41" s="79">
        <f t="shared" si="4"/>
        <v>114.81481481481481</v>
      </c>
      <c r="N41" s="55">
        <f t="shared" si="4"/>
        <v>18</v>
      </c>
      <c r="O41" s="55">
        <f t="shared" si="4"/>
        <v>49</v>
      </c>
      <c r="P41" s="79">
        <f t="shared" si="4"/>
        <v>90.740740740740748</v>
      </c>
    </row>
  </sheetData>
  <mergeCells count="11">
    <mergeCell ref="B8:B9"/>
    <mergeCell ref="M8:M9"/>
    <mergeCell ref="P8:P9"/>
    <mergeCell ref="N2:O2"/>
    <mergeCell ref="A1:P1"/>
    <mergeCell ref="A2:A3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view="pageBreakPreview" topLeftCell="B7" zoomScale="110" zoomScaleNormal="100" zoomScaleSheetLayoutView="110" workbookViewId="0">
      <selection activeCell="G45" sqref="G45"/>
    </sheetView>
  </sheetViews>
  <sheetFormatPr defaultRowHeight="14.4"/>
  <cols>
    <col min="1" max="1" width="24" customWidth="1"/>
    <col min="2" max="2" width="10.33203125" bestFit="1" customWidth="1"/>
    <col min="3" max="4" width="12.44140625" customWidth="1"/>
    <col min="5" max="5" width="12.44140625" hidden="1" customWidth="1"/>
    <col min="6" max="6" width="12.44140625" customWidth="1"/>
    <col min="7" max="7" width="11.6640625" customWidth="1"/>
    <col min="8" max="8" width="8.33203125" hidden="1" customWidth="1"/>
    <col min="9" max="9" width="8.44140625" hidden="1" customWidth="1"/>
    <col min="10" max="10" width="11" bestFit="1" customWidth="1"/>
    <col min="11" max="11" width="14" customWidth="1"/>
    <col min="12" max="12" width="13.44140625" customWidth="1"/>
    <col min="13" max="13" width="14.33203125" customWidth="1"/>
    <col min="14" max="14" width="14.33203125" hidden="1" customWidth="1"/>
    <col min="15" max="15" width="12.6640625" customWidth="1"/>
    <col min="16" max="16" width="11" customWidth="1"/>
    <col min="17" max="17" width="10.109375" bestFit="1" customWidth="1"/>
    <col min="18" max="18" width="12.5546875" customWidth="1"/>
  </cols>
  <sheetData>
    <row r="1" spans="1:18" ht="15" thickBot="1">
      <c r="A1" s="42" t="s">
        <v>225</v>
      </c>
    </row>
    <row r="2" spans="1:18" ht="22.8">
      <c r="A2" s="532" t="s">
        <v>197</v>
      </c>
      <c r="B2" s="532" t="s">
        <v>84</v>
      </c>
      <c r="C2" s="532" t="s">
        <v>224</v>
      </c>
      <c r="D2" s="532" t="s">
        <v>513</v>
      </c>
      <c r="E2" s="416"/>
      <c r="F2" s="532" t="s">
        <v>77</v>
      </c>
      <c r="G2" s="532" t="s">
        <v>78</v>
      </c>
      <c r="H2" s="416"/>
      <c r="I2" s="416"/>
      <c r="J2" s="532" t="s">
        <v>79</v>
      </c>
      <c r="K2" s="532" t="s">
        <v>80</v>
      </c>
      <c r="L2" s="532" t="s">
        <v>81</v>
      </c>
      <c r="M2" s="532" t="s">
        <v>82</v>
      </c>
      <c r="N2" s="416"/>
      <c r="O2" s="532" t="s">
        <v>85</v>
      </c>
      <c r="P2" s="30" t="s">
        <v>86</v>
      </c>
      <c r="Q2" s="30" t="s">
        <v>51</v>
      </c>
      <c r="R2" s="532" t="s">
        <v>83</v>
      </c>
    </row>
    <row r="3" spans="1:18" ht="64.95" customHeight="1" thickBot="1">
      <c r="A3" s="533"/>
      <c r="B3" s="533"/>
      <c r="C3" s="533"/>
      <c r="D3" s="533"/>
      <c r="E3" s="37"/>
      <c r="F3" s="533"/>
      <c r="G3" s="533"/>
      <c r="H3" s="37"/>
      <c r="I3" s="37"/>
      <c r="J3" s="533"/>
      <c r="K3" s="533"/>
      <c r="L3" s="533"/>
      <c r="M3" s="533"/>
      <c r="N3" s="37"/>
      <c r="O3" s="533"/>
      <c r="P3" s="32" t="s">
        <v>278</v>
      </c>
      <c r="Q3" s="32" t="s">
        <v>279</v>
      </c>
      <c r="R3" s="533"/>
    </row>
    <row r="4" spans="1:18" ht="15" thickBot="1">
      <c r="A4" s="34">
        <v>1</v>
      </c>
      <c r="B4" s="33">
        <v>2</v>
      </c>
      <c r="C4" s="33">
        <v>3</v>
      </c>
      <c r="D4" s="33">
        <v>4</v>
      </c>
      <c r="E4" s="33"/>
      <c r="F4" s="33">
        <v>5</v>
      </c>
      <c r="G4" s="33">
        <v>6</v>
      </c>
      <c r="H4" s="33"/>
      <c r="I4" s="33"/>
      <c r="J4" s="33">
        <v>7</v>
      </c>
      <c r="K4" s="33">
        <v>8</v>
      </c>
      <c r="L4" s="33">
        <v>9</v>
      </c>
      <c r="M4" s="33">
        <v>10</v>
      </c>
      <c r="N4" s="33"/>
      <c r="O4" s="33">
        <v>11</v>
      </c>
      <c r="P4" s="33">
        <v>12</v>
      </c>
      <c r="Q4" s="33">
        <v>13</v>
      </c>
      <c r="R4" s="33">
        <v>14</v>
      </c>
    </row>
    <row r="5" spans="1:18" ht="15" thickBot="1">
      <c r="A5" s="47" t="s">
        <v>198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</row>
    <row r="6" spans="1:18" ht="15" thickBot="1">
      <c r="A6" s="47" t="s">
        <v>199</v>
      </c>
      <c r="B6" s="282">
        <f>'Таблица-13'!C66+'Таблица-13'!C82</f>
        <v>1943300</v>
      </c>
      <c r="C6" s="282">
        <f t="shared" ref="C6:O6" si="0">SUM(C8:C9)</f>
        <v>2215128.2200000002</v>
      </c>
      <c r="D6" s="282">
        <f t="shared" si="0"/>
        <v>2215128.2200000002</v>
      </c>
      <c r="E6" s="282"/>
      <c r="F6" s="282">
        <f t="shared" si="0"/>
        <v>2139430.7999999998</v>
      </c>
      <c r="G6" s="282">
        <f t="shared" si="0"/>
        <v>2139430.7999999998</v>
      </c>
      <c r="H6" s="282"/>
      <c r="I6" s="282"/>
      <c r="J6" s="282">
        <f t="shared" si="0"/>
        <v>2139430.7999999998</v>
      </c>
      <c r="K6" s="282">
        <f t="shared" si="0"/>
        <v>2139430.7999999998</v>
      </c>
      <c r="L6" s="282">
        <f t="shared" si="0"/>
        <v>2090323.2899999996</v>
      </c>
      <c r="M6" s="282">
        <f t="shared" si="0"/>
        <v>2020835.7699999996</v>
      </c>
      <c r="N6" s="282">
        <f t="shared" si="0"/>
        <v>1817931.8699999999</v>
      </c>
      <c r="O6" s="55">
        <f t="shared" si="0"/>
        <v>18</v>
      </c>
      <c r="P6" s="282">
        <f>'Таблица-5'!N9+'Таблица-5'!N10</f>
        <v>69548.760000000009</v>
      </c>
      <c r="Q6" s="79">
        <f>M6/B6%</f>
        <v>103.98990222816856</v>
      </c>
      <c r="R6" s="282">
        <f>SUM(R8:R9)</f>
        <v>1817931.8699999999</v>
      </c>
    </row>
    <row r="7" spans="1:18" ht="15" thickBot="1">
      <c r="A7" s="10" t="s">
        <v>200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</row>
    <row r="8" spans="1:18" ht="15" thickBot="1">
      <c r="A8" s="10" t="s">
        <v>201</v>
      </c>
      <c r="B8" s="54"/>
      <c r="C8" s="63">
        <f>'Таблица-13'!D65+'Таблица-13'!D84+'Таблица-13'!D85+'Таблица-13'!D86+'Таблица-13'!D87+'Таблица-13'!D88+'Таблица-13'!D89+'Таблица-13'!D90</f>
        <v>2185830.2200000002</v>
      </c>
      <c r="D8" s="63">
        <f>'Таблица-13'!E65+'Таблица-13'!E84+'Таблица-13'!E85+'Таблица-13'!E86+'Таблица-13'!E87+'Таблица-13'!E88+'Таблица-13'!E89+'Таблица-13'!E90</f>
        <v>2185830.2200000002</v>
      </c>
      <c r="E8" s="63">
        <f>'Таблица-13'!F65+'Таблица-13'!F84+'Таблица-13'!F85+'Таблица-13'!F86+'Таблица-13'!F87+'Таблица-13'!F88+'Таблица-13'!F89+'Таблица-13'!F90</f>
        <v>21</v>
      </c>
      <c r="F8" s="63">
        <f>'Таблица-13'!G65+'Таблица-13'!G84+'Таблица-13'!G85+'Таблица-13'!G86+'Таблица-13'!G87+'Таблица-13'!G88+'Таблица-13'!G89+'Таблица-13'!G90</f>
        <v>2110132.7999999998</v>
      </c>
      <c r="G8" s="63">
        <f>'Таблица-13'!H65+'Таблица-13'!H84+'Таблица-13'!H85+'Таблица-13'!H86+'Таблица-13'!H87+'Таблица-13'!H88+'Таблица-13'!H89+'Таблица-13'!H90</f>
        <v>2110132.7999999998</v>
      </c>
      <c r="H8" s="63"/>
      <c r="I8" s="63"/>
      <c r="J8" s="63">
        <f>'Таблица-13'!K65+'Таблица-13'!K84+'Таблица-13'!K85+'Таблица-13'!K86+'Таблица-13'!K87+'Таблица-13'!K88+'Таблица-13'!K89+'Таблица-13'!K90</f>
        <v>2110132.7999999998</v>
      </c>
      <c r="K8" s="63">
        <f>'Таблица-13'!L65+'Таблица-13'!L84+'Таблица-13'!L85+'Таблица-13'!L86+'Таблица-13'!L87+'Таблица-13'!L88+'Таблица-13'!L89+'Таблица-13'!L90</f>
        <v>2110132.7999999998</v>
      </c>
      <c r="L8" s="63">
        <f>'Таблица-13'!M65+'Таблица-13'!M84+'Таблица-13'!M85+'Таблица-13'!M86+'Таблица-13'!M87+'Таблица-13'!M88+'Таблица-13'!M89+'Таблица-13'!M90</f>
        <v>2061025.2899999996</v>
      </c>
      <c r="M8" s="63">
        <f>'Таблица-13'!N65+'Таблица-13'!N84+'Таблица-13'!N85+'Таблица-13'!N86+'Таблица-13'!N87+'Таблица-13'!N88+'Таблица-13'!N89+'Таблица-13'!N90</f>
        <v>1991537.7699999996</v>
      </c>
      <c r="N8" s="63">
        <f>'Таблица-13'!O65+'Таблица-13'!O84+'Таблица-13'!O85+'Таблица-13'!O86+'Таблица-13'!O87+'Таблица-13'!O88+'Таблица-13'!O89+'Таблица-13'!O90</f>
        <v>1788633.8699999999</v>
      </c>
      <c r="O8" s="54">
        <v>17</v>
      </c>
      <c r="P8" s="282"/>
      <c r="Q8" s="79"/>
      <c r="R8" s="282">
        <f>N8</f>
        <v>1788633.8699999999</v>
      </c>
    </row>
    <row r="9" spans="1:18" ht="15" thickBot="1">
      <c r="A9" s="10" t="s">
        <v>202</v>
      </c>
      <c r="B9" s="54"/>
      <c r="C9" s="63">
        <f>'Таблица-13'!D83</f>
        <v>29298</v>
      </c>
      <c r="D9" s="63">
        <f>'Таблица-13'!E83</f>
        <v>29298</v>
      </c>
      <c r="E9" s="63">
        <f>'Таблица-13'!F83</f>
        <v>1</v>
      </c>
      <c r="F9" s="63">
        <f>'Таблица-13'!G83</f>
        <v>29298</v>
      </c>
      <c r="G9" s="63">
        <f>'Таблица-13'!H83</f>
        <v>29298</v>
      </c>
      <c r="H9" s="63"/>
      <c r="I9" s="63"/>
      <c r="J9" s="63">
        <f>'Таблица-13'!K83</f>
        <v>29298</v>
      </c>
      <c r="K9" s="63">
        <f>'Таблица-13'!L83</f>
        <v>29298</v>
      </c>
      <c r="L9" s="63">
        <f>'Таблица-13'!M83</f>
        <v>29298</v>
      </c>
      <c r="M9" s="63">
        <f>'Таблица-13'!N83</f>
        <v>29298</v>
      </c>
      <c r="N9" s="63">
        <f>'Таблица-13'!O83</f>
        <v>29298</v>
      </c>
      <c r="O9" s="54">
        <v>1</v>
      </c>
      <c r="P9" s="282"/>
      <c r="Q9" s="79"/>
      <c r="R9" s="282">
        <f>N9</f>
        <v>29298</v>
      </c>
    </row>
    <row r="10" spans="1:18" ht="15" thickBot="1">
      <c r="A10" s="10" t="s">
        <v>203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</row>
    <row r="11" spans="1:18" ht="15" thickBot="1">
      <c r="A11" s="47" t="s">
        <v>204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</row>
    <row r="12" spans="1:18" ht="15" thickBot="1">
      <c r="A12" s="10" t="s">
        <v>205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</row>
    <row r="13" spans="1:18" ht="36.6" thickBot="1">
      <c r="A13" s="47" t="s">
        <v>277</v>
      </c>
      <c r="B13" s="282">
        <f>'Таблица-13'!C5+'Таблица-13'!C38+'Таблица-13'!C45</f>
        <v>1788700</v>
      </c>
      <c r="C13" s="282">
        <f t="shared" ref="C13:O13" si="1">C14+C15+C16+C17</f>
        <v>5123753.12</v>
      </c>
      <c r="D13" s="282">
        <f t="shared" si="1"/>
        <v>2849473.2819999997</v>
      </c>
      <c r="E13" s="282"/>
      <c r="F13" s="282">
        <f t="shared" si="1"/>
        <v>4644539.66</v>
      </c>
      <c r="G13" s="282">
        <f t="shared" si="1"/>
        <v>2540009.3789999997</v>
      </c>
      <c r="H13" s="282"/>
      <c r="I13" s="282"/>
      <c r="J13" s="282">
        <f t="shared" si="1"/>
        <v>4436881.32</v>
      </c>
      <c r="K13" s="282">
        <f t="shared" si="1"/>
        <v>2439142.21</v>
      </c>
      <c r="L13" s="282">
        <f t="shared" si="1"/>
        <v>4392191.1500000004</v>
      </c>
      <c r="M13" s="282">
        <f t="shared" si="1"/>
        <v>2427350.622</v>
      </c>
      <c r="N13" s="282">
        <f t="shared" si="1"/>
        <v>1574124.8470000001</v>
      </c>
      <c r="O13" s="282">
        <f t="shared" si="1"/>
        <v>44</v>
      </c>
      <c r="P13" s="282">
        <f>'Таблица-5'!N6+'Таблица-5'!N8</f>
        <v>103259.92300000007</v>
      </c>
      <c r="Q13" s="282">
        <f>M13/B13*100</f>
        <v>135.70473651255102</v>
      </c>
      <c r="R13" s="282">
        <f>R14+R15+R16+R17</f>
        <v>1574124.8470000001</v>
      </c>
    </row>
    <row r="14" spans="1:18" ht="15" thickBot="1">
      <c r="A14" s="48" t="s">
        <v>207</v>
      </c>
      <c r="B14" s="54"/>
      <c r="C14" s="63">
        <f>'Таблица-13'!D8+'Таблица-13'!D9+'Таблица-13'!D10+'Таблица-13'!D12+'Таблица-13'!D13+'Таблица-13'!D14+'Таблица-13'!D15+'Таблица-13'!D17+'Таблица-13'!D18+'Таблица-13'!D19+'Таблица-13'!D20+'Таблица-13'!D21+'Таблица-13'!D24+'Таблица-13'!D25+'Таблица-13'!D27+'Таблица-13'!D28+'Таблица-13'!D29+'Таблица-13'!D30+'Таблица-13'!D31+'Таблица-13'!D33+'Таблица-13'!D34+'Таблица-13'!D35++'Таблица-13'!D39</f>
        <v>2050165.9500000002</v>
      </c>
      <c r="D14" s="63">
        <f>'Таблица-13'!E8+'Таблица-13'!E9+'Таблица-13'!E10+'Таблица-13'!E12+'Таблица-13'!E13+'Таблица-13'!E14+'Таблица-13'!E15+'Таблица-13'!E17+'Таблица-13'!E18+'Таблица-13'!E19+'Таблица-13'!E20+'Таблица-13'!E21+'Таблица-13'!E24+'Таблица-13'!E25+'Таблица-13'!E27+'Таблица-13'!E28+'Таблица-13'!E29+'Таблица-13'!E30+'Таблица-13'!E31+'Таблица-13'!E33+'Таблица-13'!E34+'Таблица-13'!E35++'Таблица-13'!E39</f>
        <v>1000097.94</v>
      </c>
      <c r="E14" s="63">
        <f>'Таблица-13'!F8+'Таблица-13'!F9+'Таблица-13'!F10+'Таблица-13'!F12+'Таблица-13'!F13+'Таблица-13'!F14+'Таблица-13'!F15+'Таблица-13'!F17+'Таблица-13'!F18+'Таблица-13'!F19+'Таблица-13'!F20+'Таблица-13'!F21+'Таблица-13'!F24+'Таблица-13'!F25+'Таблица-13'!F27+'Таблица-13'!F28+'Таблица-13'!F29+'Таблица-13'!F30+'Таблица-13'!F31+'Таблица-13'!F33+'Таблица-13'!F34+'Таблица-13'!F35++'Таблица-13'!F39</f>
        <v>11.237740210379414</v>
      </c>
      <c r="F14" s="63">
        <f>'Таблица-13'!G8+'Таблица-13'!G9+'Таблица-13'!G10+'Таблица-13'!G12+'Таблица-13'!G13+'Таблица-13'!G14+'Таблица-13'!G15+'Таблица-13'!G17+'Таблица-13'!G18+'Таблица-13'!G19+'Таблица-13'!G20+'Таблица-13'!G21+'Таблица-13'!G24+'Таблица-13'!G25+'Таблица-13'!G27+'Таблица-13'!G28+'Таблица-13'!G29+'Таблица-13'!G30+'Таблица-13'!G31+'Таблица-13'!G33+'Таблица-13'!G34+'Таблица-13'!G35++'Таблица-13'!G39</f>
        <v>1958307.6300000001</v>
      </c>
      <c r="G14" s="63">
        <f>'Таблица-13'!H8+'Таблица-13'!H9+'Таблица-13'!H10+'Таблица-13'!H12+'Таблица-13'!H13+'Таблица-13'!H14+'Таблица-13'!H15+'Таблица-13'!H17+'Таблица-13'!H18+'Таблица-13'!H19+'Таблица-13'!H20+'Таблица-13'!H21+'Таблица-13'!H24+'Таблица-13'!H25+'Таблица-13'!H27+'Таблица-13'!H28+'Таблица-13'!H29+'Таблица-13'!H30+'Таблица-13'!H31+'Таблица-13'!H33+'Таблица-13'!H34+'Таблица-13'!H35++'Таблица-13'!H39</f>
        <v>954168.75</v>
      </c>
      <c r="H14" s="63"/>
      <c r="I14" s="63"/>
      <c r="J14" s="63">
        <f>'Таблица-13'!K8+'Таблица-13'!K9+'Таблица-13'!K10+'Таблица-13'!K12+'Таблица-13'!K13+'Таблица-13'!K14+'Таблица-13'!K15+'Таблица-13'!K17+'Таблица-13'!K18+'Таблица-13'!K19+'Таблица-13'!K20+'Таблица-13'!K21+'Таблица-13'!K24+'Таблица-13'!K25+'Таблица-13'!K27+'Таблица-13'!K28+'Таблица-13'!K29+'Таблица-13'!K30+'Таблица-13'!K31+'Таблица-13'!K33+'Таблица-13'!K34+'Таблица-13'!K35++'Таблица-13'!K39</f>
        <v>1910573.29</v>
      </c>
      <c r="K14" s="63">
        <f>'Таблица-13'!L8+'Таблица-13'!L9+'Таблица-13'!L10+'Таблица-13'!L12+'Таблица-13'!L13+'Таблица-13'!L14+'Таблица-13'!L15+'Таблица-13'!L17+'Таблица-13'!L18+'Таблица-13'!L19+'Таблица-13'!L20+'Таблица-13'!L21+'Таблица-13'!L24+'Таблица-13'!L25+'Таблица-13'!L27+'Таблица-13'!L28+'Таблица-13'!L29+'Таблица-13'!L30+'Таблица-13'!L31+'Таблица-13'!L33+'Таблица-13'!L34+'Таблица-13'!L35++'Таблица-13'!L39</f>
        <v>930301.58</v>
      </c>
      <c r="L14" s="63">
        <f>'Таблица-13'!M8+'Таблица-13'!M9+'Таблица-13'!M10+'Таблица-13'!M12+'Таблица-13'!M13+'Таблица-13'!M14+'Таблица-13'!M15+'Таблица-13'!M17+'Таблица-13'!M18+'Таблица-13'!M19+'Таблица-13'!M20+'Таблица-13'!M21+'Таблица-13'!M24+'Таблица-13'!M25+'Таблица-13'!M27+'Таблица-13'!M28+'Таблица-13'!M29+'Таблица-13'!M30+'Таблица-13'!M31+'Таблица-13'!M33+'Таблица-13'!M34+'Таблица-13'!M35++'Таблица-13'!M39</f>
        <v>1909595.37</v>
      </c>
      <c r="M14" s="63">
        <f>'Таблица-13'!N8+'Таблица-13'!N9+'Таблица-13'!N10+'Таблица-13'!N12+'Таблица-13'!N13+'Таблица-13'!N14+'Таблица-13'!N15+'Таблица-13'!N17+'Таблица-13'!N18+'Таблица-13'!N19+'Таблица-13'!N20+'Таблица-13'!N21+'Таблица-13'!N24+'Таблица-13'!N25+'Таблица-13'!N27+'Таблица-13'!N28+'Таблица-13'!N29+'Таблица-13'!N30+'Таблица-13'!N31+'Таблица-13'!N33+'Таблица-13'!N34+'Таблица-13'!N35++'Таблица-13'!N39</f>
        <v>929812.62</v>
      </c>
      <c r="N14" s="63">
        <f>'Таблица-13'!O8+'Таблица-13'!O9+'Таблица-13'!O10+'Таблица-13'!O12+'Таблица-13'!O13+'Таблица-13'!O14+'Таблица-13'!O15+'Таблица-13'!O17+'Таблица-13'!O18+'Таблица-13'!O19+'Таблица-13'!O20+'Таблица-13'!O21+'Таблица-13'!O24+'Таблица-13'!O25+'Таблица-13'!O27+'Таблица-13'!O28+'Таблица-13'!O29+'Таблица-13'!O30+'Таблица-13'!O31+'Таблица-13'!O33+'Таблица-13'!O34+'Таблица-13'!O35++'Таблица-13'!O39</f>
        <v>659560.18000000005</v>
      </c>
      <c r="O14" s="54">
        <f>20+4</f>
        <v>24</v>
      </c>
      <c r="P14" s="54"/>
      <c r="Q14" s="54"/>
      <c r="R14" s="63">
        <f>N14</f>
        <v>659560.18000000005</v>
      </c>
    </row>
    <row r="15" spans="1:18" ht="15" thickBot="1">
      <c r="A15" s="48" t="s">
        <v>208</v>
      </c>
      <c r="B15" s="54"/>
      <c r="C15" s="63">
        <f>'Таблица-13'!D52+'Таблица-13'!D54</f>
        <v>45228</v>
      </c>
      <c r="D15" s="63">
        <f>'Таблица-13'!E52+'Таблица-13'!E54</f>
        <v>31659.599999999999</v>
      </c>
      <c r="E15" s="63">
        <f>'Таблица-13'!F52+'Таблица-13'!F54</f>
        <v>1.4</v>
      </c>
      <c r="F15" s="63">
        <f>'Таблица-13'!G52+'Таблица-13'!G54</f>
        <v>45228</v>
      </c>
      <c r="G15" s="63">
        <f>'Таблица-13'!H52+'Таблица-13'!H54</f>
        <v>31659.599999999999</v>
      </c>
      <c r="H15" s="63"/>
      <c r="I15" s="63"/>
      <c r="J15" s="63">
        <f>'Таблица-13'!K52+'Таблица-13'!K54</f>
        <v>45228</v>
      </c>
      <c r="K15" s="63">
        <f>'Таблица-13'!L52+'Таблица-13'!L54</f>
        <v>31659.599999999999</v>
      </c>
      <c r="L15" s="63">
        <f>'Таблица-13'!M52+'Таблица-13'!M54</f>
        <v>45228</v>
      </c>
      <c r="M15" s="63">
        <f>'Таблица-13'!N52+'Таблица-13'!N54</f>
        <v>31648.260000000002</v>
      </c>
      <c r="N15" s="63">
        <f>'Таблица-13'!O52+'Таблица-13'!O54</f>
        <v>31648.260000000002</v>
      </c>
      <c r="O15" s="54">
        <v>2</v>
      </c>
      <c r="P15" s="54"/>
      <c r="Q15" s="54"/>
      <c r="R15" s="63">
        <f t="shared" ref="R15:R17" si="2">N15</f>
        <v>31648.260000000002</v>
      </c>
    </row>
    <row r="16" spans="1:18" ht="24.6" thickBot="1">
      <c r="A16" s="48" t="s">
        <v>275</v>
      </c>
      <c r="B16" s="54"/>
      <c r="C16" s="63">
        <f>'Таблица-13'!D11+'Таблица-13'!D41+'Таблица-13'!D42+'Таблица-13'!D43+'Таблица-13'!D46+'Таблица-13'!D47+'Таблица-13'!D49+'Таблица-13'!D51+'Таблица-13'!D53+'Таблица-13'!D55</f>
        <v>1300633.8799999999</v>
      </c>
      <c r="D16" s="63">
        <f>'Таблица-13'!E11+'Таблица-13'!E41+'Таблица-13'!E42+'Таблица-13'!E43+'Таблица-13'!E46+'Таблица-13'!E47+'Таблица-13'!E49+'Таблица-13'!E51+'Таблица-13'!E53+'Таблица-13'!E55</f>
        <v>848084.47199999995</v>
      </c>
      <c r="E16" s="63">
        <f>'Таблица-13'!F11+'Таблица-13'!F41+'Таблица-13'!F42+'Таблица-13'!F43+'Таблица-13'!F46+'Таблица-13'!F47+'Таблица-13'!F49+'Таблица-13'!F51+'Таблица-13'!F53+'Таблица-13'!F55</f>
        <v>6.3046248907633036</v>
      </c>
      <c r="F16" s="63">
        <f>'Таблица-13'!G11+'Таблица-13'!G41+'Таблица-13'!G42+'Таблица-13'!G43+'Таблица-13'!G46+'Таблица-13'!G47+'Таблица-13'!G49+'Таблица-13'!G51+'Таблица-13'!G53+'Таблица-13'!G55</f>
        <v>906278.74</v>
      </c>
      <c r="G16" s="63">
        <f>'Таблица-13'!H11+'Таблица-13'!H41+'Таблица-13'!H42+'Таблица-13'!H43+'Таблица-13'!H46+'Таблица-13'!H47+'Таблица-13'!H49+'Таблица-13'!H51+'Таблица-13'!H53+'Таблица-13'!H55</f>
        <v>584549.76399999997</v>
      </c>
      <c r="H16" s="63"/>
      <c r="I16" s="63"/>
      <c r="J16" s="63">
        <f>'Таблица-13'!K11+'Таблица-13'!K41+'Таблица-13'!K42+'Таблица-13'!K43+'Таблица-13'!K46+'Таблица-13'!K47+'Таблица-13'!K49+'Таблица-13'!K51+'Таблица-13'!K53+'Таблица-13'!K55</f>
        <v>906278.74</v>
      </c>
      <c r="K16" s="63">
        <f>'Таблица-13'!L11+'Таблица-13'!L41+'Таблица-13'!L42+'Таблица-13'!L43+'Таблица-13'!L46+'Таблица-13'!L47+'Таблица-13'!L49+'Таблица-13'!L51+'Таблица-13'!L53+'Таблица-13'!L55</f>
        <v>584549.76</v>
      </c>
      <c r="L16" s="63">
        <f>'Таблица-13'!M11+'Таблица-13'!M41+'Таблица-13'!M42+'Таблица-13'!M43+'Таблица-13'!M46+'Таблица-13'!M47+'Таблица-13'!M49+'Таблица-13'!M51+'Таблица-13'!M53+'Таблица-13'!M55</f>
        <v>885617.09</v>
      </c>
      <c r="M16" s="63">
        <f>'Таблица-13'!N11+'Таблица-13'!N41+'Таблица-13'!N42+'Таблица-13'!N43+'Таблица-13'!N46+'Таблица-13'!N47+'Таблица-13'!N49+'Таблица-13'!N51+'Таблица-13'!N53+'Таблица-13'!N55</f>
        <v>580512.99200000009</v>
      </c>
      <c r="N16" s="63">
        <f>'Таблица-13'!O11+'Таблица-13'!O41+'Таблица-13'!O42+'Таблица-13'!O43+'Таблица-13'!O46+'Таблица-13'!O47+'Таблица-13'!O49+'Таблица-13'!O51+'Таблица-13'!O53+'Таблица-13'!O55</f>
        <v>278494.38199999998</v>
      </c>
      <c r="O16" s="54">
        <f>10</f>
        <v>10</v>
      </c>
      <c r="P16" s="54"/>
      <c r="Q16" s="54"/>
      <c r="R16" s="63">
        <f t="shared" si="2"/>
        <v>278494.38199999998</v>
      </c>
    </row>
    <row r="17" spans="1:18" ht="24.6" thickBot="1">
      <c r="A17" s="48" t="s">
        <v>276</v>
      </c>
      <c r="B17" s="54"/>
      <c r="C17" s="63">
        <f>'Таблица-13'!D22+'Таблица-13'!D23+'Таблица-13'!D26+'Таблица-13'!D32+'Таблица-13'!D36+'Таблица-13'!D40+'Таблица-13'!D48+'Таблица-13'!D50+'Таблица-13'!D56+'Таблица-13'!D57+'Таблица-13'!D58+'Таблица-13'!D59+'Таблица-13'!D60+'Таблица-13'!D61+'Таблица-13'!D62+'Таблица-13'!D63+'Таблица-13'!D64</f>
        <v>1727725.29</v>
      </c>
      <c r="D17" s="63">
        <f>'Таблица-13'!E22+'Таблица-13'!E23+'Таблица-13'!E26+'Таблица-13'!E32+'Таблица-13'!E36+'Таблица-13'!E40+'Таблица-13'!E48+'Таблица-13'!E50+'Таблица-13'!E56+'Таблица-13'!E57+'Таблица-13'!E58+'Таблица-13'!E59+'Таблица-13'!E60+'Таблица-13'!E61+'Таблица-13'!E62+'Таблица-13'!E63+'Таблица-13'!E64</f>
        <v>969631.2699999999</v>
      </c>
      <c r="E17" s="63">
        <f>'Таблица-13'!F22+'Таблица-13'!F23+'Таблица-13'!F26+'Таблица-13'!F32+'Таблица-13'!F36+'Таблица-13'!F40+'Таблица-13'!F48+'Таблица-13'!F50+'Таблица-13'!F56+'Таблица-13'!F57+'Таблица-13'!F58+'Таблица-13'!F59+'Таблица-13'!F60+'Таблица-13'!F61+'Таблица-13'!F62+'Таблица-13'!F63+'Таблица-13'!F64</f>
        <v>9.978878671827248</v>
      </c>
      <c r="F17" s="63">
        <f>'Таблица-13'!G22+'Таблица-13'!G23+'Таблица-13'!G26+'Таблица-13'!G32+'Таблица-13'!G36+'Таблица-13'!G40+'Таблица-13'!G48+'Таблица-13'!G50+'Таблица-13'!G56+'Таблица-13'!G57+'Таблица-13'!G58+'Таблица-13'!G59+'Таблица-13'!G60+'Таблица-13'!G61+'Таблица-13'!G62+'Таблица-13'!G63+'Таблица-13'!G64</f>
        <v>1734725.29</v>
      </c>
      <c r="G17" s="63">
        <f>'Таблица-13'!H22+'Таблица-13'!H23+'Таблица-13'!H26+'Таблица-13'!H32+'Таблица-13'!H36+'Таблица-13'!H40+'Таблица-13'!H48+'Таблица-13'!H50+'Таблица-13'!H56+'Таблица-13'!H57+'Таблица-13'!H58+'Таблица-13'!H59+'Таблица-13'!H60+'Таблица-13'!H61+'Таблица-13'!H62+'Таблица-13'!H63+'Таблица-13'!H64</f>
        <v>969631.2649999999</v>
      </c>
      <c r="H17" s="63"/>
      <c r="I17" s="63"/>
      <c r="J17" s="63">
        <f>'Таблица-13'!K22+'Таблица-13'!K23+'Таблица-13'!K26+'Таблица-13'!K32+'Таблица-13'!K36+'Таблица-13'!K40+'Таблица-13'!K48+'Таблица-13'!K50+'Таблица-13'!K56+'Таблица-13'!K57+'Таблица-13'!K58+'Таблица-13'!K59+'Таблица-13'!K60+'Таблица-13'!K61+'Таблица-13'!K62+'Таблица-13'!K63+'Таблица-13'!K64</f>
        <v>1574801.29</v>
      </c>
      <c r="K17" s="63">
        <f>'Таблица-13'!L22+'Таблица-13'!L23+'Таблица-13'!L26+'Таблица-13'!L32+'Таблица-13'!L36+'Таблица-13'!L40+'Таблица-13'!L48+'Таблица-13'!L50+'Таблица-13'!L56+'Таблица-13'!L57+'Таблица-13'!L58+'Таблица-13'!L59+'Таблица-13'!L60+'Таблица-13'!L61+'Таблица-13'!L62+'Таблица-13'!L63+'Таблица-13'!L64</f>
        <v>892631.27</v>
      </c>
      <c r="L17" s="63">
        <f>'Таблица-13'!M22+'Таблица-13'!M23+'Таблица-13'!M26+'Таблица-13'!M32+'Таблица-13'!M36+'Таблица-13'!M40+'Таблица-13'!M48+'Таблица-13'!M50+'Таблица-13'!M56+'Таблица-13'!M57+'Таблица-13'!M58+'Таблица-13'!M59+'Таблица-13'!M60+'Таблица-13'!M61+'Таблица-13'!M62+'Таблица-13'!M63+'Таблица-13'!M64</f>
        <v>1551750.69</v>
      </c>
      <c r="M17" s="63">
        <f>'Таблица-13'!N22+'Таблица-13'!N23+'Таблица-13'!N26+'Таблица-13'!N32+'Таблица-13'!N36+'Таблица-13'!N40+'Таблица-13'!N48+'Таблица-13'!N50+'Таблица-13'!N56+'Таблица-13'!N57+'Таблица-13'!N58+'Таблица-13'!N59+'Таблица-13'!N60+'Таблица-13'!N61+'Таблица-13'!N62+'Таблица-13'!N63+'Таблица-13'!N64</f>
        <v>885376.75</v>
      </c>
      <c r="N17" s="63">
        <f>'Таблица-13'!O22+'Таблица-13'!O23+'Таблица-13'!O26+'Таблица-13'!O32+'Таблица-13'!O36+'Таблица-13'!O40+'Таблица-13'!O48+'Таблица-13'!O50+'Таблица-13'!O56+'Таблица-13'!O57+'Таблица-13'!O58+'Таблица-13'!O59+'Таблица-13'!O60+'Таблица-13'!O61+'Таблица-13'!O62+'Таблица-13'!O63+'Таблица-13'!O64</f>
        <v>604422.02500000002</v>
      </c>
      <c r="O17" s="54">
        <f>4+4</f>
        <v>8</v>
      </c>
      <c r="P17" s="54"/>
      <c r="Q17" s="54"/>
      <c r="R17" s="63">
        <f t="shared" si="2"/>
        <v>604422.02500000002</v>
      </c>
    </row>
    <row r="18" spans="1:18" ht="15" thickBot="1">
      <c r="A18" s="10" t="s">
        <v>210</v>
      </c>
      <c r="B18" s="57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</row>
    <row r="19" spans="1:18" ht="15" thickBot="1">
      <c r="A19" s="35" t="s">
        <v>211</v>
      </c>
      <c r="B19" s="387">
        <f>B13+B6</f>
        <v>3732000</v>
      </c>
      <c r="C19" s="387">
        <f t="shared" ref="C19:R19" si="3">C13+C6</f>
        <v>7338881.3399999999</v>
      </c>
      <c r="D19" s="387">
        <f t="shared" si="3"/>
        <v>5064601.5020000003</v>
      </c>
      <c r="E19" s="387">
        <f t="shared" si="3"/>
        <v>0</v>
      </c>
      <c r="F19" s="387">
        <f t="shared" si="3"/>
        <v>6783970.46</v>
      </c>
      <c r="G19" s="387">
        <f t="shared" si="3"/>
        <v>4679440.1789999995</v>
      </c>
      <c r="H19" s="387">
        <f t="shared" si="3"/>
        <v>0</v>
      </c>
      <c r="I19" s="387">
        <f t="shared" si="3"/>
        <v>0</v>
      </c>
      <c r="J19" s="387">
        <f t="shared" si="3"/>
        <v>6576312.1200000001</v>
      </c>
      <c r="K19" s="387">
        <f t="shared" si="3"/>
        <v>4578573.01</v>
      </c>
      <c r="L19" s="387">
        <f t="shared" si="3"/>
        <v>6482514.4399999995</v>
      </c>
      <c r="M19" s="387">
        <f t="shared" si="3"/>
        <v>4448186.3919999991</v>
      </c>
      <c r="N19" s="387">
        <f t="shared" si="3"/>
        <v>3392056.7170000002</v>
      </c>
      <c r="O19" s="387">
        <f t="shared" si="3"/>
        <v>62</v>
      </c>
      <c r="P19" s="387">
        <f t="shared" si="3"/>
        <v>172808.68300000008</v>
      </c>
      <c r="Q19" s="387"/>
      <c r="R19" s="387">
        <f t="shared" si="3"/>
        <v>3392056.7170000002</v>
      </c>
    </row>
    <row r="20" spans="1:18" ht="15" hidden="1" thickBot="1">
      <c r="A20" s="35"/>
      <c r="B20" s="58"/>
      <c r="C20" s="58"/>
      <c r="D20" s="59"/>
      <c r="E20" s="59"/>
      <c r="F20" s="58"/>
      <c r="G20" s="59"/>
      <c r="H20" s="58"/>
      <c r="I20" s="58"/>
      <c r="J20" s="58"/>
      <c r="K20" s="59"/>
      <c r="L20" s="58"/>
      <c r="M20" s="59"/>
      <c r="N20" s="59"/>
      <c r="O20" s="58"/>
      <c r="P20" s="59"/>
      <c r="Q20" s="223"/>
      <c r="R20" s="58"/>
    </row>
    <row r="21" spans="1:18" ht="15" hidden="1" thickBot="1">
      <c r="A21" s="35" t="s">
        <v>212</v>
      </c>
      <c r="B21" s="58"/>
      <c r="C21" s="58"/>
      <c r="D21" s="59"/>
      <c r="E21" s="59"/>
      <c r="F21" s="58"/>
      <c r="G21" s="59"/>
      <c r="H21" s="58"/>
      <c r="I21" s="58"/>
      <c r="J21" s="58"/>
      <c r="K21" s="59"/>
      <c r="L21" s="58"/>
      <c r="M21" s="59"/>
      <c r="N21" s="59"/>
      <c r="O21" s="58"/>
      <c r="P21" s="59"/>
      <c r="Q21" s="223"/>
      <c r="R21" s="58"/>
    </row>
    <row r="22" spans="1:18" ht="36.6" hidden="1" thickBot="1">
      <c r="A22" s="49" t="s">
        <v>213</v>
      </c>
      <c r="B22" s="58"/>
      <c r="C22" s="58"/>
      <c r="D22" s="59"/>
      <c r="E22" s="59"/>
      <c r="F22" s="58"/>
      <c r="G22" s="59"/>
      <c r="H22" s="58"/>
      <c r="I22" s="58"/>
      <c r="J22" s="58"/>
      <c r="K22" s="59"/>
      <c r="L22" s="58"/>
      <c r="M22" s="59"/>
      <c r="N22" s="59"/>
      <c r="O22" s="58"/>
      <c r="P22" s="59"/>
      <c r="Q22" s="223"/>
      <c r="R22" s="58"/>
    </row>
    <row r="23" spans="1:18" ht="15" hidden="1" thickBot="1">
      <c r="A23" s="35" t="s">
        <v>214</v>
      </c>
      <c r="B23" s="58"/>
      <c r="C23" s="58"/>
      <c r="D23" s="59"/>
      <c r="E23" s="59"/>
      <c r="F23" s="58"/>
      <c r="G23" s="59"/>
      <c r="H23" s="58"/>
      <c r="I23" s="58"/>
      <c r="J23" s="58"/>
      <c r="K23" s="59"/>
      <c r="L23" s="58"/>
      <c r="M23" s="59"/>
      <c r="N23" s="59"/>
      <c r="O23" s="58"/>
      <c r="P23" s="59"/>
      <c r="Q23" s="223"/>
      <c r="R23" s="58"/>
    </row>
    <row r="24" spans="1:18" ht="15" hidden="1" thickBot="1">
      <c r="A24" s="35"/>
      <c r="B24" s="58"/>
      <c r="C24" s="58"/>
      <c r="D24" s="59"/>
      <c r="E24" s="59"/>
      <c r="F24" s="58"/>
      <c r="G24" s="59"/>
      <c r="H24" s="58"/>
      <c r="I24" s="58"/>
      <c r="J24" s="58"/>
      <c r="K24" s="59"/>
      <c r="L24" s="58"/>
      <c r="M24" s="59"/>
      <c r="N24" s="59"/>
      <c r="O24" s="58"/>
      <c r="P24" s="59"/>
      <c r="Q24" s="223"/>
      <c r="R24" s="58"/>
    </row>
    <row r="25" spans="1:18" ht="15" hidden="1" thickBot="1">
      <c r="A25" s="35" t="s">
        <v>215</v>
      </c>
      <c r="B25" s="58"/>
      <c r="C25" s="58"/>
      <c r="D25" s="59"/>
      <c r="E25" s="59"/>
      <c r="F25" s="58"/>
      <c r="G25" s="59"/>
      <c r="H25" s="58"/>
      <c r="I25" s="58"/>
      <c r="J25" s="58"/>
      <c r="K25" s="59"/>
      <c r="L25" s="58"/>
      <c r="M25" s="59"/>
      <c r="N25" s="59"/>
      <c r="O25" s="58"/>
      <c r="P25" s="59"/>
      <c r="Q25" s="223"/>
      <c r="R25" s="58"/>
    </row>
    <row r="26" spans="1:18" ht="36.6" hidden="1" thickBot="1">
      <c r="A26" s="49" t="s">
        <v>213</v>
      </c>
      <c r="B26" s="58"/>
      <c r="C26" s="58"/>
      <c r="D26" s="59"/>
      <c r="E26" s="59"/>
      <c r="F26" s="58"/>
      <c r="G26" s="59"/>
      <c r="H26" s="58"/>
      <c r="I26" s="58"/>
      <c r="J26" s="58"/>
      <c r="K26" s="59"/>
      <c r="L26" s="58"/>
      <c r="M26" s="59"/>
      <c r="N26" s="59"/>
      <c r="O26" s="58"/>
      <c r="P26" s="59"/>
      <c r="Q26" s="223"/>
      <c r="R26" s="58"/>
    </row>
    <row r="27" spans="1:18" ht="15" hidden="1" thickBot="1">
      <c r="A27" s="35" t="s">
        <v>216</v>
      </c>
      <c r="B27" s="58"/>
      <c r="C27" s="58"/>
      <c r="D27" s="59"/>
      <c r="E27" s="59"/>
      <c r="F27" s="58"/>
      <c r="G27" s="59"/>
      <c r="H27" s="58"/>
      <c r="I27" s="58"/>
      <c r="J27" s="58"/>
      <c r="K27" s="59"/>
      <c r="L27" s="58"/>
      <c r="M27" s="59"/>
      <c r="N27" s="59"/>
      <c r="O27" s="58"/>
      <c r="P27" s="59"/>
      <c r="Q27" s="223"/>
      <c r="R27" s="58"/>
    </row>
    <row r="28" spans="1:18" ht="15" hidden="1" thickBot="1">
      <c r="A28" s="35"/>
      <c r="B28" s="58"/>
      <c r="C28" s="58"/>
      <c r="D28" s="59"/>
      <c r="E28" s="59"/>
      <c r="F28" s="58"/>
      <c r="G28" s="59"/>
      <c r="H28" s="58"/>
      <c r="I28" s="58"/>
      <c r="J28" s="58"/>
      <c r="K28" s="59"/>
      <c r="L28" s="58"/>
      <c r="M28" s="59"/>
      <c r="N28" s="59"/>
      <c r="O28" s="58"/>
      <c r="P28" s="59"/>
      <c r="Q28" s="223"/>
      <c r="R28" s="58"/>
    </row>
    <row r="29" spans="1:18" ht="15" hidden="1" thickBot="1">
      <c r="A29" s="35" t="s">
        <v>217</v>
      </c>
      <c r="B29" s="58"/>
      <c r="C29" s="58"/>
      <c r="D29" s="59"/>
      <c r="E29" s="59"/>
      <c r="F29" s="58"/>
      <c r="G29" s="59"/>
      <c r="H29" s="58"/>
      <c r="I29" s="58"/>
      <c r="J29" s="58"/>
      <c r="K29" s="59"/>
      <c r="L29" s="58"/>
      <c r="M29" s="59"/>
      <c r="N29" s="59"/>
      <c r="O29" s="58"/>
      <c r="P29" s="59"/>
      <c r="Q29" s="223"/>
      <c r="R29" s="58"/>
    </row>
    <row r="30" spans="1:18" ht="36.6" hidden="1" thickBot="1">
      <c r="A30" s="49" t="s">
        <v>213</v>
      </c>
      <c r="B30" s="58"/>
      <c r="C30" s="58"/>
      <c r="D30" s="59"/>
      <c r="E30" s="59"/>
      <c r="F30" s="58"/>
      <c r="G30" s="59"/>
      <c r="H30" s="58"/>
      <c r="I30" s="58"/>
      <c r="J30" s="58"/>
      <c r="K30" s="59"/>
      <c r="L30" s="58"/>
      <c r="M30" s="59"/>
      <c r="N30" s="59"/>
      <c r="O30" s="58"/>
      <c r="P30" s="59"/>
      <c r="Q30" s="223"/>
      <c r="R30" s="58"/>
    </row>
    <row r="31" spans="1:18" ht="15" hidden="1" thickBot="1">
      <c r="A31" s="35" t="s">
        <v>218</v>
      </c>
      <c r="B31" s="58"/>
      <c r="C31" s="58"/>
      <c r="D31" s="59"/>
      <c r="E31" s="59"/>
      <c r="F31" s="58"/>
      <c r="G31" s="59"/>
      <c r="H31" s="58"/>
      <c r="I31" s="58"/>
      <c r="J31" s="58"/>
      <c r="K31" s="59"/>
      <c r="L31" s="58"/>
      <c r="M31" s="59"/>
      <c r="N31" s="59"/>
      <c r="O31" s="58"/>
      <c r="P31" s="59"/>
      <c r="Q31" s="223"/>
      <c r="R31" s="58"/>
    </row>
    <row r="32" spans="1:18" ht="15" hidden="1" thickBot="1">
      <c r="A32" s="35"/>
      <c r="B32" s="58"/>
      <c r="C32" s="58"/>
      <c r="D32" s="59"/>
      <c r="E32" s="59"/>
      <c r="F32" s="58"/>
      <c r="G32" s="59"/>
      <c r="H32" s="58"/>
      <c r="I32" s="58"/>
      <c r="J32" s="58"/>
      <c r="K32" s="59"/>
      <c r="L32" s="58"/>
      <c r="M32" s="59"/>
      <c r="N32" s="59"/>
      <c r="O32" s="58"/>
      <c r="P32" s="59"/>
      <c r="Q32" s="223"/>
      <c r="R32" s="58"/>
    </row>
    <row r="33" spans="1:18" ht="15" hidden="1" thickBot="1">
      <c r="A33" s="35" t="s">
        <v>219</v>
      </c>
      <c r="B33" s="58"/>
      <c r="C33" s="58"/>
      <c r="D33" s="59"/>
      <c r="E33" s="59"/>
      <c r="F33" s="58"/>
      <c r="G33" s="59"/>
      <c r="H33" s="58"/>
      <c r="I33" s="58"/>
      <c r="J33" s="58"/>
      <c r="K33" s="59"/>
      <c r="L33" s="58"/>
      <c r="M33" s="59"/>
      <c r="N33" s="59"/>
      <c r="O33" s="58"/>
      <c r="P33" s="59"/>
      <c r="Q33" s="223"/>
      <c r="R33" s="58"/>
    </row>
    <row r="34" spans="1:18" ht="36.6" hidden="1" thickBot="1">
      <c r="A34" s="49" t="s">
        <v>213</v>
      </c>
      <c r="B34" s="58"/>
      <c r="C34" s="58"/>
      <c r="D34" s="59"/>
      <c r="E34" s="59"/>
      <c r="F34" s="58"/>
      <c r="G34" s="59"/>
      <c r="H34" s="58"/>
      <c r="I34" s="58"/>
      <c r="J34" s="58"/>
      <c r="K34" s="59"/>
      <c r="L34" s="58"/>
      <c r="M34" s="59"/>
      <c r="N34" s="59"/>
      <c r="O34" s="58"/>
      <c r="P34" s="59"/>
      <c r="Q34" s="223"/>
      <c r="R34" s="58"/>
    </row>
    <row r="35" spans="1:18" ht="15" hidden="1" thickBot="1">
      <c r="A35" s="35" t="s">
        <v>220</v>
      </c>
      <c r="B35" s="58"/>
      <c r="C35" s="58"/>
      <c r="D35" s="59"/>
      <c r="E35" s="59"/>
      <c r="F35" s="58"/>
      <c r="G35" s="59"/>
      <c r="H35" s="58"/>
      <c r="I35" s="58"/>
      <c r="J35" s="58"/>
      <c r="K35" s="59"/>
      <c r="L35" s="58"/>
      <c r="M35" s="59"/>
      <c r="N35" s="59"/>
      <c r="O35" s="58"/>
      <c r="P35" s="59"/>
      <c r="Q35" s="223"/>
      <c r="R35" s="58"/>
    </row>
    <row r="36" spans="1:18" ht="15" hidden="1" thickBot="1">
      <c r="A36" s="35"/>
      <c r="B36" s="58"/>
      <c r="C36" s="58"/>
      <c r="D36" s="59"/>
      <c r="E36" s="59"/>
      <c r="F36" s="58"/>
      <c r="G36" s="59"/>
      <c r="H36" s="58"/>
      <c r="I36" s="58"/>
      <c r="J36" s="58"/>
      <c r="K36" s="59"/>
      <c r="L36" s="58"/>
      <c r="M36" s="59"/>
      <c r="N36" s="59"/>
      <c r="O36" s="58"/>
      <c r="P36" s="59"/>
      <c r="Q36" s="223"/>
      <c r="R36" s="58"/>
    </row>
    <row r="37" spans="1:18" ht="15" hidden="1" thickBot="1">
      <c r="A37" s="35" t="s">
        <v>221</v>
      </c>
      <c r="B37" s="58"/>
      <c r="C37" s="58"/>
      <c r="D37" s="59"/>
      <c r="E37" s="59"/>
      <c r="F37" s="58"/>
      <c r="G37" s="59"/>
      <c r="H37" s="58"/>
      <c r="I37" s="58"/>
      <c r="J37" s="58"/>
      <c r="K37" s="59"/>
      <c r="L37" s="58"/>
      <c r="M37" s="59"/>
      <c r="N37" s="59"/>
      <c r="O37" s="58"/>
      <c r="P37" s="59"/>
      <c r="Q37" s="223"/>
      <c r="R37" s="58"/>
    </row>
    <row r="38" spans="1:18" ht="36.6" hidden="1" thickBot="1">
      <c r="A38" s="49" t="s">
        <v>213</v>
      </c>
      <c r="B38" s="58"/>
      <c r="C38" s="58"/>
      <c r="D38" s="59"/>
      <c r="E38" s="59"/>
      <c r="F38" s="58"/>
      <c r="G38" s="59"/>
      <c r="H38" s="58"/>
      <c r="I38" s="58"/>
      <c r="J38" s="58"/>
      <c r="K38" s="59"/>
      <c r="L38" s="58"/>
      <c r="M38" s="59"/>
      <c r="N38" s="59"/>
      <c r="O38" s="58"/>
      <c r="P38" s="59"/>
      <c r="Q38" s="223"/>
      <c r="R38" s="58"/>
    </row>
    <row r="39" spans="1:18" ht="15" hidden="1" thickBot="1">
      <c r="A39" s="35" t="s">
        <v>222</v>
      </c>
      <c r="B39" s="58"/>
      <c r="C39" s="58"/>
      <c r="D39" s="59"/>
      <c r="E39" s="59"/>
      <c r="F39" s="58"/>
      <c r="G39" s="59"/>
      <c r="H39" s="58"/>
      <c r="I39" s="58"/>
      <c r="J39" s="58"/>
      <c r="K39" s="59"/>
      <c r="L39" s="58"/>
      <c r="M39" s="59"/>
      <c r="N39" s="59"/>
      <c r="O39" s="58"/>
      <c r="P39" s="59"/>
      <c r="Q39" s="223"/>
      <c r="R39" s="58"/>
    </row>
    <row r="40" spans="1:18" ht="15" thickBot="1">
      <c r="A40" s="35" t="s">
        <v>223</v>
      </c>
      <c r="B40" s="387">
        <f>B19</f>
        <v>3732000</v>
      </c>
      <c r="C40" s="387">
        <f>C19</f>
        <v>7338881.3399999999</v>
      </c>
      <c r="D40" s="59">
        <f>D19</f>
        <v>5064601.5020000003</v>
      </c>
      <c r="E40" s="59"/>
      <c r="F40" s="58">
        <f>F19</f>
        <v>6783970.46</v>
      </c>
      <c r="G40" s="59">
        <f t="shared" ref="G40:P40" si="4">G19</f>
        <v>4679440.1789999995</v>
      </c>
      <c r="H40" s="58"/>
      <c r="I40" s="58"/>
      <c r="J40" s="58">
        <f t="shared" si="4"/>
        <v>6576312.1200000001</v>
      </c>
      <c r="K40" s="59">
        <f t="shared" si="4"/>
        <v>4578573.01</v>
      </c>
      <c r="L40" s="58">
        <f t="shared" si="4"/>
        <v>6482514.4399999995</v>
      </c>
      <c r="M40" s="59">
        <f t="shared" si="4"/>
        <v>4448186.3919999991</v>
      </c>
      <c r="N40" s="59">
        <f t="shared" ref="N40" si="5">N19</f>
        <v>3392056.7170000002</v>
      </c>
      <c r="O40" s="59">
        <f t="shared" si="4"/>
        <v>62</v>
      </c>
      <c r="P40" s="59">
        <f t="shared" si="4"/>
        <v>172808.68300000008</v>
      </c>
      <c r="Q40" s="222"/>
      <c r="R40" s="387">
        <f>R19</f>
        <v>3392056.7170000002</v>
      </c>
    </row>
    <row r="42" spans="1:18">
      <c r="C42" s="437"/>
    </row>
    <row r="43" spans="1:18" hidden="1">
      <c r="L43">
        <v>5050244.78</v>
      </c>
      <c r="M43">
        <v>3931928.1</v>
      </c>
      <c r="R43">
        <v>2219422.85</v>
      </c>
    </row>
    <row r="44" spans="1:18" hidden="1">
      <c r="C44" s="437"/>
      <c r="D44" s="437"/>
      <c r="E44" s="437"/>
      <c r="F44" s="437"/>
      <c r="G44" s="437"/>
      <c r="H44" s="437"/>
      <c r="I44" s="437"/>
      <c r="J44" s="437"/>
      <c r="K44" s="437"/>
      <c r="L44" s="437">
        <f t="shared" ref="L44:M44" si="6">L40-L43</f>
        <v>1432269.6599999992</v>
      </c>
      <c r="M44" s="437">
        <f t="shared" si="6"/>
        <v>516258.29199999897</v>
      </c>
      <c r="N44" s="437"/>
      <c r="R44" s="437">
        <f t="shared" ref="R44" si="7">R40-R43</f>
        <v>1172633.8670000001</v>
      </c>
    </row>
    <row r="45" spans="1:18">
      <c r="D45" s="437"/>
      <c r="E45" s="437"/>
      <c r="F45" s="437"/>
      <c r="G45" s="437"/>
    </row>
    <row r="46" spans="1:18">
      <c r="C46" s="437"/>
    </row>
  </sheetData>
  <mergeCells count="12">
    <mergeCell ref="R2:R3"/>
    <mergeCell ref="A2:A3"/>
    <mergeCell ref="B2:B3"/>
    <mergeCell ref="C2:C3"/>
    <mergeCell ref="D2:D3"/>
    <mergeCell ref="F2:F3"/>
    <mergeCell ref="G2:G3"/>
    <mergeCell ref="J2:J3"/>
    <mergeCell ref="K2:K3"/>
    <mergeCell ref="L2:L3"/>
    <mergeCell ref="M2:M3"/>
    <mergeCell ref="O2:O3"/>
  </mergeCells>
  <pageMargins left="0.70866141732283472" right="0.70866141732283472" top="0.74803149606299213" bottom="0.74803149606299213" header="0.31496062992125984" footer="0.31496062992125984"/>
  <pageSetup paperSize="9" scale="70" orientation="landscape" verticalDpi="4294967294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R94"/>
  <sheetViews>
    <sheetView tabSelected="1" view="pageBreakPreview" topLeftCell="D79" zoomScale="80" zoomScaleNormal="80" zoomScaleSheetLayoutView="80" workbookViewId="0">
      <selection activeCell="S87" sqref="S87"/>
    </sheetView>
  </sheetViews>
  <sheetFormatPr defaultColWidth="9.109375" defaultRowHeight="12"/>
  <cols>
    <col min="1" max="1" width="13.6640625" style="65" customWidth="1"/>
    <col min="2" max="2" width="28.33203125" style="65" customWidth="1"/>
    <col min="3" max="3" width="83.109375" style="65" customWidth="1"/>
    <col min="4" max="4" width="13" style="65" customWidth="1"/>
    <col min="5" max="5" width="11.5546875" style="65" customWidth="1"/>
    <col min="6" max="6" width="9.109375" style="65" customWidth="1"/>
    <col min="7" max="7" width="12.5546875" style="65" customWidth="1"/>
    <col min="8" max="8" width="13.5546875" style="65" customWidth="1"/>
    <col min="9" max="9" width="32.88671875" style="65" customWidth="1"/>
    <col min="10" max="10" width="15.6640625" style="65" customWidth="1"/>
    <col min="11" max="11" width="13.33203125" style="65" hidden="1" customWidth="1"/>
    <col min="12" max="12" width="12.44140625" style="65" hidden="1" customWidth="1"/>
    <col min="13" max="13" width="12.109375" style="65" customWidth="1"/>
    <col min="14" max="15" width="11.33203125" style="65" customWidth="1"/>
    <col min="16" max="16" width="9.5546875" style="65" hidden="1" customWidth="1"/>
    <col min="17" max="17" width="9.109375" style="65"/>
    <col min="18" max="18" width="15.33203125" style="65" customWidth="1"/>
    <col min="19" max="16384" width="9.109375" style="65"/>
  </cols>
  <sheetData>
    <row r="1" spans="1:18" ht="12.6" thickBot="1">
      <c r="A1" s="622" t="s">
        <v>540</v>
      </c>
      <c r="B1" s="622"/>
      <c r="C1" s="622"/>
      <c r="D1" s="622"/>
      <c r="E1" s="622"/>
      <c r="F1" s="622"/>
      <c r="G1" s="622"/>
      <c r="H1" s="622"/>
      <c r="I1" s="622"/>
      <c r="J1" s="622"/>
      <c r="K1" s="622"/>
      <c r="L1" s="622"/>
      <c r="M1" s="622"/>
      <c r="N1" s="622"/>
      <c r="O1" s="622"/>
    </row>
    <row r="2" spans="1:18">
      <c r="A2" s="620" t="s">
        <v>43</v>
      </c>
      <c r="B2" s="620" t="s">
        <v>226</v>
      </c>
      <c r="C2" s="620" t="s">
        <v>227</v>
      </c>
      <c r="D2" s="620" t="s">
        <v>224</v>
      </c>
      <c r="E2" s="620" t="s">
        <v>331</v>
      </c>
      <c r="F2" s="620" t="s">
        <v>228</v>
      </c>
      <c r="G2" s="620" t="s">
        <v>77</v>
      </c>
      <c r="H2" s="620" t="s">
        <v>78</v>
      </c>
      <c r="I2" s="623" t="s">
        <v>546</v>
      </c>
      <c r="J2" s="625" t="s">
        <v>547</v>
      </c>
      <c r="K2" s="620" t="s">
        <v>79</v>
      </c>
      <c r="L2" s="620" t="s">
        <v>80</v>
      </c>
      <c r="M2" s="620" t="s">
        <v>231</v>
      </c>
      <c r="N2" s="362" t="s">
        <v>232</v>
      </c>
      <c r="O2" s="620" t="s">
        <v>83</v>
      </c>
    </row>
    <row r="3" spans="1:18" ht="75.599999999999994" customHeight="1" thickBot="1">
      <c r="A3" s="621"/>
      <c r="B3" s="621"/>
      <c r="C3" s="621"/>
      <c r="D3" s="621"/>
      <c r="E3" s="621"/>
      <c r="F3" s="621"/>
      <c r="G3" s="621"/>
      <c r="H3" s="621"/>
      <c r="I3" s="624"/>
      <c r="J3" s="626"/>
      <c r="K3" s="621"/>
      <c r="L3" s="621"/>
      <c r="M3" s="621"/>
      <c r="N3" s="364" t="s">
        <v>233</v>
      </c>
      <c r="O3" s="621"/>
    </row>
    <row r="4" spans="1:18">
      <c r="A4" s="365">
        <v>1</v>
      </c>
      <c r="B4" s="366">
        <v>2</v>
      </c>
      <c r="C4" s="366">
        <v>3</v>
      </c>
      <c r="D4" s="366">
        <v>4</v>
      </c>
      <c r="E4" s="366">
        <v>5</v>
      </c>
      <c r="F4" s="366">
        <v>6</v>
      </c>
      <c r="G4" s="366">
        <v>7</v>
      </c>
      <c r="H4" s="366">
        <v>8</v>
      </c>
      <c r="I4" s="367">
        <v>9</v>
      </c>
      <c r="J4" s="367">
        <v>10</v>
      </c>
      <c r="K4" s="366">
        <v>11</v>
      </c>
      <c r="L4" s="366">
        <v>12</v>
      </c>
      <c r="M4" s="366">
        <v>13</v>
      </c>
      <c r="N4" s="366">
        <v>14</v>
      </c>
      <c r="O4" s="366">
        <v>15</v>
      </c>
    </row>
    <row r="5" spans="1:18" ht="12.6" thickBot="1">
      <c r="A5" s="618" t="s">
        <v>59</v>
      </c>
      <c r="B5" s="619"/>
      <c r="C5" s="396">
        <v>996900</v>
      </c>
      <c r="D5" s="368"/>
      <c r="E5" s="368"/>
      <c r="F5" s="368"/>
      <c r="G5" s="368"/>
      <c r="H5" s="368"/>
      <c r="I5" s="368"/>
      <c r="J5" s="368"/>
      <c r="K5" s="368"/>
      <c r="L5" s="368"/>
      <c r="M5" s="368"/>
      <c r="N5" s="368"/>
      <c r="O5" s="368"/>
    </row>
    <row r="6" spans="1:18" ht="12.6" thickBot="1">
      <c r="A6" s="612" t="s">
        <v>69</v>
      </c>
      <c r="B6" s="613"/>
      <c r="C6" s="614"/>
      <c r="D6" s="369">
        <f>SUM(D7:D36)</f>
        <v>2822621.79</v>
      </c>
      <c r="E6" s="369">
        <f>SUM(E7:E36)</f>
        <v>1368413.8049999999</v>
      </c>
      <c r="F6" s="369"/>
      <c r="G6" s="369">
        <f t="shared" ref="G6:H6" si="0">SUM(G7:G36)</f>
        <v>2822621.79</v>
      </c>
      <c r="H6" s="369">
        <f t="shared" si="0"/>
        <v>1368413.8049999999</v>
      </c>
      <c r="I6" s="502"/>
      <c r="J6" s="369"/>
      <c r="K6" s="369">
        <f t="shared" ref="K6" si="1">SUM(K7:K36)</f>
        <v>2614963.4500000002</v>
      </c>
      <c r="L6" s="369">
        <f t="shared" ref="L6" si="2">SUM(L7:L36)</f>
        <v>1267546.635</v>
      </c>
      <c r="M6" s="369">
        <f t="shared" ref="M6" si="3">SUM(M7:M36)</f>
        <v>2613985.5300000003</v>
      </c>
      <c r="N6" s="369">
        <f t="shared" ref="N6" si="4">SUM(N7:N36)</f>
        <v>1267057.675</v>
      </c>
      <c r="O6" s="369">
        <f>SUM(O7:O36)</f>
        <v>996460.41000000015</v>
      </c>
      <c r="R6" s="173"/>
    </row>
    <row r="7" spans="1:18" s="225" customFormat="1" ht="36">
      <c r="A7" s="371"/>
      <c r="B7" s="229" t="s">
        <v>309</v>
      </c>
      <c r="C7" s="229" t="s">
        <v>238</v>
      </c>
      <c r="D7" s="230"/>
      <c r="E7" s="230"/>
      <c r="F7" s="230"/>
      <c r="G7" s="230"/>
      <c r="H7" s="230"/>
      <c r="I7" s="230" t="s">
        <v>310</v>
      </c>
      <c r="J7" s="229" t="s">
        <v>311</v>
      </c>
      <c r="K7" s="230">
        <v>0</v>
      </c>
      <c r="L7" s="230">
        <v>0</v>
      </c>
      <c r="M7" s="231">
        <v>0</v>
      </c>
      <c r="N7" s="230">
        <v>0</v>
      </c>
      <c r="O7" s="232">
        <v>0</v>
      </c>
    </row>
    <row r="8" spans="1:18" s="225" customFormat="1" ht="57.6">
      <c r="A8" s="372">
        <v>1</v>
      </c>
      <c r="B8" s="457" t="s">
        <v>629</v>
      </c>
      <c r="C8" s="72" t="s">
        <v>235</v>
      </c>
      <c r="D8" s="72">
        <v>101810</v>
      </c>
      <c r="E8" s="72">
        <v>50905</v>
      </c>
      <c r="F8" s="458">
        <f>E8/D8</f>
        <v>0.5</v>
      </c>
      <c r="G8" s="72">
        <v>101810</v>
      </c>
      <c r="H8" s="72">
        <v>50905</v>
      </c>
      <c r="I8" s="72" t="s">
        <v>429</v>
      </c>
      <c r="J8" s="713" t="s">
        <v>599</v>
      </c>
      <c r="K8" s="72">
        <f>G8</f>
        <v>101810</v>
      </c>
      <c r="L8" s="72">
        <f>H8</f>
        <v>50905</v>
      </c>
      <c r="M8" s="72">
        <v>101810</v>
      </c>
      <c r="N8" s="72">
        <v>50905</v>
      </c>
      <c r="O8" s="459">
        <v>0</v>
      </c>
      <c r="P8" s="90" t="s">
        <v>332</v>
      </c>
    </row>
    <row r="9" spans="1:18" s="225" customFormat="1" ht="57.6">
      <c r="A9" s="372">
        <v>2</v>
      </c>
      <c r="B9" s="457" t="s">
        <v>628</v>
      </c>
      <c r="C9" s="72" t="s">
        <v>236</v>
      </c>
      <c r="D9" s="72">
        <v>155307.22999999998</v>
      </c>
      <c r="E9" s="72">
        <v>77653.62</v>
      </c>
      <c r="F9" s="458">
        <f>E9/D9</f>
        <v>0.50000003219425138</v>
      </c>
      <c r="G9" s="72">
        <v>155307.22999999998</v>
      </c>
      <c r="H9" s="72">
        <v>77653.62</v>
      </c>
      <c r="I9" s="72" t="s">
        <v>400</v>
      </c>
      <c r="J9" s="713" t="s">
        <v>599</v>
      </c>
      <c r="K9" s="72">
        <f>G9</f>
        <v>155307.22999999998</v>
      </c>
      <c r="L9" s="72">
        <f>H9</f>
        <v>77653.62</v>
      </c>
      <c r="M9" s="72">
        <v>155307.22999999998</v>
      </c>
      <c r="N9" s="72">
        <v>77653.62</v>
      </c>
      <c r="O9" s="459">
        <v>0</v>
      </c>
      <c r="P9" s="90" t="s">
        <v>332</v>
      </c>
    </row>
    <row r="10" spans="1:18" s="225" customFormat="1" ht="24">
      <c r="A10" s="372">
        <v>3</v>
      </c>
      <c r="B10" s="224" t="s">
        <v>313</v>
      </c>
      <c r="C10" s="90" t="s">
        <v>237</v>
      </c>
      <c r="D10" s="90">
        <v>65834.539999999994</v>
      </c>
      <c r="E10" s="90">
        <v>32917.269999999997</v>
      </c>
      <c r="F10" s="199">
        <f t="shared" ref="F10:F23" si="5">E10/D10</f>
        <v>0.5</v>
      </c>
      <c r="G10" s="90">
        <v>65834.539999999994</v>
      </c>
      <c r="H10" s="90">
        <v>32917.269999999997</v>
      </c>
      <c r="I10" s="90" t="s">
        <v>405</v>
      </c>
      <c r="J10" s="491">
        <v>44046</v>
      </c>
      <c r="K10" s="90">
        <f t="shared" ref="K10:L10" si="6">G10</f>
        <v>65834.539999999994</v>
      </c>
      <c r="L10" s="90">
        <f t="shared" si="6"/>
        <v>32917.269999999997</v>
      </c>
      <c r="M10" s="90">
        <v>65834.539999999994</v>
      </c>
      <c r="N10" s="90">
        <v>32917.269999999997</v>
      </c>
      <c r="O10" s="73">
        <v>24206.58</v>
      </c>
    </row>
    <row r="11" spans="1:18" s="225" customFormat="1">
      <c r="A11" s="372">
        <v>4</v>
      </c>
      <c r="B11" s="224" t="s">
        <v>309</v>
      </c>
      <c r="C11" s="90" t="s">
        <v>238</v>
      </c>
      <c r="D11" s="90">
        <v>145794.76999999999</v>
      </c>
      <c r="E11" s="90">
        <v>72897.37</v>
      </c>
      <c r="F11" s="199">
        <f t="shared" si="5"/>
        <v>0.49999989711565102</v>
      </c>
      <c r="G11" s="90">
        <v>145794.76999999999</v>
      </c>
      <c r="H11" s="90">
        <v>72897.37</v>
      </c>
      <c r="I11" s="90" t="s">
        <v>445</v>
      </c>
      <c r="J11" s="491">
        <v>43759</v>
      </c>
      <c r="K11" s="90">
        <f t="shared" ref="K11:K32" si="7">G11</f>
        <v>145794.76999999999</v>
      </c>
      <c r="L11" s="90">
        <f t="shared" ref="L11:L32" si="8">H11</f>
        <v>72897.37</v>
      </c>
      <c r="M11" s="90">
        <v>145794.76999999999</v>
      </c>
      <c r="N11" s="90">
        <v>72897.37</v>
      </c>
      <c r="O11" s="73">
        <v>72897.37</v>
      </c>
    </row>
    <row r="12" spans="1:18" s="225" customFormat="1" ht="48.6" customHeight="1">
      <c r="A12" s="372">
        <v>5</v>
      </c>
      <c r="B12" s="457" t="s">
        <v>626</v>
      </c>
      <c r="C12" s="72" t="s">
        <v>627</v>
      </c>
      <c r="D12" s="72">
        <v>105960</v>
      </c>
      <c r="E12" s="72">
        <v>42384</v>
      </c>
      <c r="F12" s="458">
        <f t="shared" si="5"/>
        <v>0.4</v>
      </c>
      <c r="G12" s="72">
        <v>105960</v>
      </c>
      <c r="H12" s="72">
        <v>42384</v>
      </c>
      <c r="I12" s="72" t="s">
        <v>411</v>
      </c>
      <c r="J12" s="713" t="s">
        <v>600</v>
      </c>
      <c r="K12" s="72">
        <f t="shared" si="7"/>
        <v>105960</v>
      </c>
      <c r="L12" s="72">
        <f t="shared" si="8"/>
        <v>42384</v>
      </c>
      <c r="M12" s="400">
        <v>105960</v>
      </c>
      <c r="N12" s="460">
        <v>42384</v>
      </c>
      <c r="O12" s="459">
        <v>0</v>
      </c>
      <c r="P12" s="90" t="s">
        <v>332</v>
      </c>
    </row>
    <row r="13" spans="1:18" s="225" customFormat="1">
      <c r="A13" s="372">
        <v>6</v>
      </c>
      <c r="B13" s="224" t="s">
        <v>625</v>
      </c>
      <c r="C13" s="90" t="s">
        <v>240</v>
      </c>
      <c r="D13" s="90">
        <v>33400</v>
      </c>
      <c r="E13" s="90">
        <v>16700</v>
      </c>
      <c r="F13" s="199">
        <f t="shared" si="5"/>
        <v>0.5</v>
      </c>
      <c r="G13" s="90">
        <v>33400</v>
      </c>
      <c r="H13" s="90">
        <v>16700</v>
      </c>
      <c r="I13" s="90" t="s">
        <v>426</v>
      </c>
      <c r="J13" s="491">
        <v>44427</v>
      </c>
      <c r="K13" s="90">
        <f t="shared" si="7"/>
        <v>33400</v>
      </c>
      <c r="L13" s="90">
        <f t="shared" si="8"/>
        <v>16700</v>
      </c>
      <c r="M13" s="90">
        <v>33400</v>
      </c>
      <c r="N13" s="382">
        <v>16700</v>
      </c>
      <c r="O13" s="73">
        <v>12500</v>
      </c>
    </row>
    <row r="14" spans="1:18" s="225" customFormat="1">
      <c r="A14" s="372">
        <v>7</v>
      </c>
      <c r="B14" s="224" t="s">
        <v>624</v>
      </c>
      <c r="C14" s="90" t="s">
        <v>241</v>
      </c>
      <c r="D14" s="90">
        <v>81000</v>
      </c>
      <c r="E14" s="90">
        <v>40500</v>
      </c>
      <c r="F14" s="199">
        <f t="shared" si="5"/>
        <v>0.5</v>
      </c>
      <c r="G14" s="90">
        <v>81000</v>
      </c>
      <c r="H14" s="90">
        <v>40500</v>
      </c>
      <c r="I14" s="90" t="s">
        <v>420</v>
      </c>
      <c r="J14" s="491">
        <v>44046</v>
      </c>
      <c r="K14" s="90">
        <f t="shared" si="7"/>
        <v>81000</v>
      </c>
      <c r="L14" s="90">
        <f t="shared" si="8"/>
        <v>40500</v>
      </c>
      <c r="M14" s="90">
        <v>81000</v>
      </c>
      <c r="N14" s="90">
        <v>40500</v>
      </c>
      <c r="O14" s="73">
        <v>40500</v>
      </c>
    </row>
    <row r="15" spans="1:18" s="225" customFormat="1" ht="24">
      <c r="A15" s="372">
        <v>8</v>
      </c>
      <c r="B15" s="224" t="s">
        <v>623</v>
      </c>
      <c r="C15" s="90" t="s">
        <v>242</v>
      </c>
      <c r="D15" s="90">
        <v>46308.7</v>
      </c>
      <c r="E15" s="90">
        <v>23154.35</v>
      </c>
      <c r="F15" s="199">
        <f t="shared" si="5"/>
        <v>0.5</v>
      </c>
      <c r="G15" s="90">
        <v>46308.7</v>
      </c>
      <c r="H15" s="90">
        <v>23154.35</v>
      </c>
      <c r="I15" s="496" t="s">
        <v>440</v>
      </c>
      <c r="J15" s="486">
        <v>44028</v>
      </c>
      <c r="K15" s="90">
        <f t="shared" si="7"/>
        <v>46308.7</v>
      </c>
      <c r="L15" s="90">
        <f t="shared" si="8"/>
        <v>23154.35</v>
      </c>
      <c r="M15" s="90">
        <v>46308.7</v>
      </c>
      <c r="N15" s="90">
        <v>23154.35</v>
      </c>
      <c r="O15" s="73">
        <v>18697.73</v>
      </c>
    </row>
    <row r="16" spans="1:18" s="225" customFormat="1">
      <c r="A16" s="372"/>
      <c r="B16" s="224" t="s">
        <v>622</v>
      </c>
      <c r="C16" s="224" t="s">
        <v>243</v>
      </c>
      <c r="D16" s="90"/>
      <c r="E16" s="224"/>
      <c r="F16" s="224"/>
      <c r="G16" s="224"/>
      <c r="H16" s="224"/>
      <c r="J16" s="486"/>
      <c r="K16" s="90"/>
      <c r="L16" s="90">
        <f t="shared" si="8"/>
        <v>0</v>
      </c>
      <c r="M16" s="90"/>
      <c r="N16" s="90"/>
      <c r="O16" s="73"/>
    </row>
    <row r="17" spans="1:15" s="225" customFormat="1">
      <c r="A17" s="372">
        <v>9</v>
      </c>
      <c r="B17" s="224" t="s">
        <v>622</v>
      </c>
      <c r="C17" s="90" t="s">
        <v>243</v>
      </c>
      <c r="D17" s="90">
        <v>159900</v>
      </c>
      <c r="E17" s="90">
        <v>79950</v>
      </c>
      <c r="F17" s="199">
        <f t="shared" si="5"/>
        <v>0.5</v>
      </c>
      <c r="G17" s="90">
        <v>159900</v>
      </c>
      <c r="H17" s="90">
        <v>79950</v>
      </c>
      <c r="I17" s="496" t="s">
        <v>423</v>
      </c>
      <c r="J17" s="486">
        <v>43759</v>
      </c>
      <c r="K17" s="90">
        <f t="shared" si="7"/>
        <v>159900</v>
      </c>
      <c r="L17" s="90">
        <f t="shared" si="8"/>
        <v>79950</v>
      </c>
      <c r="M17" s="90">
        <v>159900</v>
      </c>
      <c r="N17" s="90">
        <v>79950</v>
      </c>
      <c r="O17" s="73">
        <v>79950</v>
      </c>
    </row>
    <row r="18" spans="1:15" s="225" customFormat="1">
      <c r="A18" s="372">
        <v>10</v>
      </c>
      <c r="B18" s="224" t="s">
        <v>621</v>
      </c>
      <c r="C18" s="90" t="s">
        <v>244</v>
      </c>
      <c r="D18" s="90">
        <v>129078</v>
      </c>
      <c r="E18" s="90">
        <v>64539</v>
      </c>
      <c r="F18" s="199">
        <f t="shared" si="5"/>
        <v>0.5</v>
      </c>
      <c r="G18" s="90">
        <v>129078</v>
      </c>
      <c r="H18" s="90">
        <v>64539</v>
      </c>
      <c r="I18" s="496" t="s">
        <v>409</v>
      </c>
      <c r="J18" s="486">
        <v>44005</v>
      </c>
      <c r="K18" s="90">
        <f t="shared" si="7"/>
        <v>129078</v>
      </c>
      <c r="L18" s="90">
        <f t="shared" si="8"/>
        <v>64539</v>
      </c>
      <c r="M18" s="90">
        <v>129078</v>
      </c>
      <c r="N18" s="90">
        <v>64539</v>
      </c>
      <c r="O18" s="73">
        <v>62832.3</v>
      </c>
    </row>
    <row r="19" spans="1:15" s="225" customFormat="1">
      <c r="A19" s="372">
        <v>11</v>
      </c>
      <c r="B19" s="224" t="s">
        <v>620</v>
      </c>
      <c r="C19" s="90" t="s">
        <v>245</v>
      </c>
      <c r="D19" s="90">
        <v>81000</v>
      </c>
      <c r="E19" s="90">
        <v>27356.94</v>
      </c>
      <c r="F19" s="199">
        <f t="shared" si="5"/>
        <v>0.33773999999999998</v>
      </c>
      <c r="G19" s="90">
        <v>81000</v>
      </c>
      <c r="H19" s="90">
        <v>27356.94</v>
      </c>
      <c r="I19" s="496" t="s">
        <v>414</v>
      </c>
      <c r="J19" s="486">
        <v>44046</v>
      </c>
      <c r="K19" s="90">
        <f t="shared" si="7"/>
        <v>81000</v>
      </c>
      <c r="L19" s="90">
        <f t="shared" si="8"/>
        <v>27356.94</v>
      </c>
      <c r="M19" s="90">
        <v>81000</v>
      </c>
      <c r="N19" s="90">
        <v>27356.94</v>
      </c>
      <c r="O19" s="73">
        <v>27356.94</v>
      </c>
    </row>
    <row r="20" spans="1:15" s="225" customFormat="1">
      <c r="A20" s="372">
        <v>12</v>
      </c>
      <c r="B20" s="224" t="s">
        <v>619</v>
      </c>
      <c r="C20" s="90" t="s">
        <v>244</v>
      </c>
      <c r="D20" s="90">
        <v>77618.5</v>
      </c>
      <c r="E20" s="90">
        <v>38809.25</v>
      </c>
      <c r="F20" s="199">
        <f t="shared" si="5"/>
        <v>0.5</v>
      </c>
      <c r="G20" s="90">
        <v>77618.5</v>
      </c>
      <c r="H20" s="90">
        <v>38809.25</v>
      </c>
      <c r="I20" s="496" t="s">
        <v>437</v>
      </c>
      <c r="J20" s="486">
        <v>44005</v>
      </c>
      <c r="K20" s="90">
        <f t="shared" si="7"/>
        <v>77618.5</v>
      </c>
      <c r="L20" s="90">
        <f t="shared" si="8"/>
        <v>38809.25</v>
      </c>
      <c r="M20" s="90">
        <v>77618.5</v>
      </c>
      <c r="N20" s="90">
        <v>38809.25</v>
      </c>
      <c r="O20" s="73">
        <v>38809.25</v>
      </c>
    </row>
    <row r="21" spans="1:15" s="225" customFormat="1">
      <c r="A21" s="372">
        <v>13</v>
      </c>
      <c r="B21" s="224" t="s">
        <v>618</v>
      </c>
      <c r="C21" s="90" t="s">
        <v>246</v>
      </c>
      <c r="D21" s="90">
        <v>110716.61</v>
      </c>
      <c r="E21" s="90">
        <v>55358.3</v>
      </c>
      <c r="F21" s="199">
        <f t="shared" si="5"/>
        <v>0.49999995483965776</v>
      </c>
      <c r="G21" s="90">
        <v>110716.61</v>
      </c>
      <c r="H21" s="90">
        <v>55358.3</v>
      </c>
      <c r="I21" s="496" t="s">
        <v>418</v>
      </c>
      <c r="J21" s="491">
        <v>44427</v>
      </c>
      <c r="K21" s="90">
        <v>110716.61</v>
      </c>
      <c r="L21" s="90">
        <v>55358.3</v>
      </c>
      <c r="M21" s="90">
        <v>110716.61</v>
      </c>
      <c r="N21" s="90">
        <v>55358.3</v>
      </c>
      <c r="O21" s="73">
        <v>55358.3</v>
      </c>
    </row>
    <row r="22" spans="1:15" s="225" customFormat="1">
      <c r="A22" s="372">
        <v>14</v>
      </c>
      <c r="B22" s="224" t="s">
        <v>319</v>
      </c>
      <c r="C22" s="90" t="s">
        <v>247</v>
      </c>
      <c r="D22" s="90">
        <v>159203.38</v>
      </c>
      <c r="E22" s="90">
        <v>79601.69</v>
      </c>
      <c r="F22" s="199">
        <f t="shared" si="5"/>
        <v>0.5</v>
      </c>
      <c r="G22" s="90">
        <v>159203.38</v>
      </c>
      <c r="H22" s="90">
        <v>79601.69</v>
      </c>
      <c r="I22" s="496" t="s">
        <v>391</v>
      </c>
      <c r="J22" s="491">
        <v>44035</v>
      </c>
      <c r="K22" s="90">
        <f t="shared" si="7"/>
        <v>159203.38</v>
      </c>
      <c r="L22" s="90">
        <f t="shared" si="8"/>
        <v>79601.69</v>
      </c>
      <c r="M22" s="90">
        <v>159203.38</v>
      </c>
      <c r="N22" s="90">
        <v>79601.69</v>
      </c>
      <c r="O22" s="73">
        <v>79601.429999999993</v>
      </c>
    </row>
    <row r="23" spans="1:15" s="225" customFormat="1" ht="24">
      <c r="A23" s="372">
        <v>15</v>
      </c>
      <c r="B23" s="90" t="s">
        <v>320</v>
      </c>
      <c r="C23" s="90" t="s">
        <v>248</v>
      </c>
      <c r="D23" s="90">
        <v>90000</v>
      </c>
      <c r="E23" s="90">
        <v>45000</v>
      </c>
      <c r="F23" s="199">
        <f t="shared" si="5"/>
        <v>0.5</v>
      </c>
      <c r="G23" s="90">
        <v>90000</v>
      </c>
      <c r="H23" s="90">
        <v>45000</v>
      </c>
      <c r="I23" s="496" t="s">
        <v>396</v>
      </c>
      <c r="J23" s="491">
        <v>44125</v>
      </c>
      <c r="K23" s="90">
        <f t="shared" si="7"/>
        <v>90000</v>
      </c>
      <c r="L23" s="90">
        <f t="shared" si="8"/>
        <v>45000</v>
      </c>
      <c r="M23" s="90">
        <v>90000</v>
      </c>
      <c r="N23" s="90">
        <v>45000</v>
      </c>
      <c r="O23" s="73">
        <v>45000</v>
      </c>
    </row>
    <row r="24" spans="1:15" s="225" customFormat="1" ht="24">
      <c r="A24" s="372">
        <v>16</v>
      </c>
      <c r="B24" s="224" t="s">
        <v>617</v>
      </c>
      <c r="C24" s="90" t="s">
        <v>287</v>
      </c>
      <c r="D24" s="90">
        <v>159000</v>
      </c>
      <c r="E24" s="90">
        <v>79500</v>
      </c>
      <c r="F24" s="199">
        <f t="shared" ref="F24:F35" si="9">E24/D24</f>
        <v>0.5</v>
      </c>
      <c r="G24" s="90">
        <v>159000</v>
      </c>
      <c r="H24" s="90">
        <v>79500</v>
      </c>
      <c r="I24" s="90" t="s">
        <v>433</v>
      </c>
      <c r="J24" s="492">
        <v>44293</v>
      </c>
      <c r="K24" s="90">
        <f t="shared" si="7"/>
        <v>159000</v>
      </c>
      <c r="L24" s="90">
        <f t="shared" si="8"/>
        <v>79500</v>
      </c>
      <c r="M24" s="90">
        <v>159000</v>
      </c>
      <c r="N24" s="90">
        <v>79500</v>
      </c>
      <c r="O24" s="73">
        <v>79500</v>
      </c>
    </row>
    <row r="25" spans="1:15" s="225" customFormat="1">
      <c r="A25" s="461">
        <v>17</v>
      </c>
      <c r="B25" s="224" t="s">
        <v>616</v>
      </c>
      <c r="C25" s="90" t="s">
        <v>289</v>
      </c>
      <c r="D25" s="90">
        <v>158315.54</v>
      </c>
      <c r="E25" s="90">
        <v>79157.77</v>
      </c>
      <c r="F25" s="199">
        <f t="shared" si="9"/>
        <v>0.5</v>
      </c>
      <c r="G25" s="90">
        <v>158315.54</v>
      </c>
      <c r="H25" s="90">
        <v>79157.77</v>
      </c>
      <c r="I25" s="90" t="s">
        <v>548</v>
      </c>
      <c r="J25" s="492">
        <v>44621</v>
      </c>
      <c r="K25" s="90">
        <f t="shared" si="7"/>
        <v>158315.54</v>
      </c>
      <c r="L25" s="90">
        <f t="shared" si="8"/>
        <v>79157.77</v>
      </c>
      <c r="M25" s="90">
        <v>158315.54</v>
      </c>
      <c r="N25" s="90">
        <v>79157.77</v>
      </c>
      <c r="O25" s="90">
        <v>75922.77</v>
      </c>
    </row>
    <row r="26" spans="1:15">
      <c r="A26" s="461">
        <v>18</v>
      </c>
      <c r="B26" s="90" t="s">
        <v>340</v>
      </c>
      <c r="C26" s="90" t="s">
        <v>341</v>
      </c>
      <c r="D26" s="112">
        <v>149500</v>
      </c>
      <c r="E26" s="112">
        <v>59800</v>
      </c>
      <c r="F26" s="199">
        <f t="shared" si="9"/>
        <v>0.4</v>
      </c>
      <c r="G26" s="112">
        <v>149500</v>
      </c>
      <c r="H26" s="112">
        <v>59800</v>
      </c>
      <c r="I26" s="90" t="s">
        <v>339</v>
      </c>
      <c r="J26" s="492">
        <v>44949</v>
      </c>
      <c r="K26" s="90">
        <f t="shared" si="7"/>
        <v>149500</v>
      </c>
      <c r="L26" s="90">
        <f t="shared" si="8"/>
        <v>59800</v>
      </c>
      <c r="M26" s="112">
        <v>149500</v>
      </c>
      <c r="N26" s="112">
        <v>59800</v>
      </c>
      <c r="O26" s="167">
        <v>59800</v>
      </c>
    </row>
    <row r="27" spans="1:15">
      <c r="A27" s="461">
        <v>19</v>
      </c>
      <c r="B27" s="224" t="s">
        <v>481</v>
      </c>
      <c r="C27" s="90" t="s">
        <v>482</v>
      </c>
      <c r="D27" s="90">
        <v>57025.5</v>
      </c>
      <c r="E27" s="374">
        <v>28512.75</v>
      </c>
      <c r="F27" s="199">
        <f t="shared" si="9"/>
        <v>0.5</v>
      </c>
      <c r="G27" s="374">
        <f t="shared" ref="G27:H28" si="10">D27</f>
        <v>57025.5</v>
      </c>
      <c r="H27" s="374">
        <f t="shared" si="10"/>
        <v>28512.75</v>
      </c>
      <c r="I27" s="90" t="s">
        <v>549</v>
      </c>
      <c r="J27" s="492">
        <v>45083</v>
      </c>
      <c r="K27" s="90">
        <f t="shared" si="7"/>
        <v>57025.5</v>
      </c>
      <c r="L27" s="90">
        <f t="shared" si="8"/>
        <v>28512.75</v>
      </c>
      <c r="M27" s="374">
        <v>57025.5</v>
      </c>
      <c r="N27" s="374">
        <v>28512.75</v>
      </c>
      <c r="O27" s="167">
        <v>28512.75</v>
      </c>
    </row>
    <row r="28" spans="1:15" ht="24">
      <c r="A28" s="461">
        <v>20</v>
      </c>
      <c r="B28" s="224" t="s">
        <v>615</v>
      </c>
      <c r="C28" s="90" t="s">
        <v>480</v>
      </c>
      <c r="D28" s="374">
        <v>47694</v>
      </c>
      <c r="E28" s="90">
        <v>19077.599999999999</v>
      </c>
      <c r="F28" s="199">
        <f t="shared" si="9"/>
        <v>0.39999999999999997</v>
      </c>
      <c r="G28" s="374">
        <f t="shared" si="10"/>
        <v>47694</v>
      </c>
      <c r="H28" s="374">
        <f t="shared" si="10"/>
        <v>19077.599999999999</v>
      </c>
      <c r="I28" s="90" t="s">
        <v>550</v>
      </c>
      <c r="J28" s="492">
        <v>44995</v>
      </c>
      <c r="K28" s="90">
        <f t="shared" si="7"/>
        <v>47694</v>
      </c>
      <c r="L28" s="90">
        <f t="shared" si="8"/>
        <v>19077.599999999999</v>
      </c>
      <c r="M28" s="374">
        <v>47694</v>
      </c>
      <c r="N28" s="374">
        <v>19077.599999999999</v>
      </c>
      <c r="O28" s="167">
        <v>19077.599999999999</v>
      </c>
    </row>
    <row r="29" spans="1:15" ht="24">
      <c r="A29" s="461">
        <v>21</v>
      </c>
      <c r="B29" s="224" t="s">
        <v>614</v>
      </c>
      <c r="C29" s="90" t="s">
        <v>483</v>
      </c>
      <c r="D29" s="374">
        <v>107570.65</v>
      </c>
      <c r="E29" s="374">
        <v>53785.32</v>
      </c>
      <c r="F29" s="199">
        <f t="shared" si="9"/>
        <v>0.4999999535189199</v>
      </c>
      <c r="G29" s="90">
        <v>107570.65</v>
      </c>
      <c r="H29" s="90">
        <v>53785.32</v>
      </c>
      <c r="I29" s="90" t="s">
        <v>551</v>
      </c>
      <c r="J29" s="492">
        <v>45099</v>
      </c>
      <c r="K29" s="90">
        <f t="shared" si="7"/>
        <v>107570.65</v>
      </c>
      <c r="L29" s="90">
        <f t="shared" si="8"/>
        <v>53785.32</v>
      </c>
      <c r="M29" s="493">
        <v>106592.73</v>
      </c>
      <c r="N29" s="493">
        <v>53296.36</v>
      </c>
      <c r="O29" s="167">
        <v>53295.55</v>
      </c>
    </row>
    <row r="30" spans="1:15" ht="48">
      <c r="A30" s="461">
        <v>22</v>
      </c>
      <c r="B30" s="457" t="s">
        <v>613</v>
      </c>
      <c r="C30" s="72" t="s">
        <v>484</v>
      </c>
      <c r="D30" s="462">
        <f t="shared" ref="D30" si="11">E30*2</f>
        <v>154000</v>
      </c>
      <c r="E30" s="462">
        <v>77000</v>
      </c>
      <c r="F30" s="458">
        <f t="shared" si="9"/>
        <v>0.5</v>
      </c>
      <c r="G30" s="72">
        <v>154000</v>
      </c>
      <c r="H30" s="72">
        <v>77000</v>
      </c>
      <c r="I30" s="72" t="s">
        <v>552</v>
      </c>
      <c r="J30" s="714" t="s">
        <v>601</v>
      </c>
      <c r="K30" s="72">
        <f t="shared" si="7"/>
        <v>154000</v>
      </c>
      <c r="L30" s="72">
        <f t="shared" si="8"/>
        <v>77000</v>
      </c>
      <c r="M30" s="72">
        <v>154000</v>
      </c>
      <c r="N30" s="72">
        <v>77000</v>
      </c>
      <c r="O30" s="463">
        <v>0</v>
      </c>
    </row>
    <row r="31" spans="1:15">
      <c r="A31" s="461">
        <v>23</v>
      </c>
      <c r="B31" s="224" t="s">
        <v>612</v>
      </c>
      <c r="C31" s="90" t="s">
        <v>485</v>
      </c>
      <c r="D31" s="374">
        <v>35234.019999999997</v>
      </c>
      <c r="E31" s="374">
        <v>21140.41</v>
      </c>
      <c r="F31" s="199">
        <f t="shared" si="9"/>
        <v>0.59999994323667871</v>
      </c>
      <c r="G31" s="90">
        <v>35234.019999999997</v>
      </c>
      <c r="H31" s="90">
        <v>21140.41</v>
      </c>
      <c r="I31" s="90" t="s">
        <v>553</v>
      </c>
      <c r="J31" s="486">
        <v>45098</v>
      </c>
      <c r="K31" s="90">
        <f t="shared" si="7"/>
        <v>35234.019999999997</v>
      </c>
      <c r="L31" s="90">
        <f t="shared" si="8"/>
        <v>21140.41</v>
      </c>
      <c r="M31" s="90">
        <v>35234.019999999997</v>
      </c>
      <c r="N31" s="90">
        <v>21140.41</v>
      </c>
      <c r="O31" s="167">
        <v>21140.41</v>
      </c>
    </row>
    <row r="32" spans="1:15">
      <c r="A32" s="461">
        <v>24</v>
      </c>
      <c r="B32" s="494" t="s">
        <v>490</v>
      </c>
      <c r="C32" s="90" t="s">
        <v>247</v>
      </c>
      <c r="D32" s="374">
        <v>159892.01</v>
      </c>
      <c r="E32" s="374">
        <f>D32/2-0.01</f>
        <v>79945.99500000001</v>
      </c>
      <c r="F32" s="199">
        <f t="shared" si="9"/>
        <v>0.49999993745778792</v>
      </c>
      <c r="G32" s="90">
        <v>159892.01</v>
      </c>
      <c r="H32" s="90">
        <v>79945.99500000001</v>
      </c>
      <c r="I32" s="90" t="s">
        <v>554</v>
      </c>
      <c r="J32" s="486">
        <v>45028</v>
      </c>
      <c r="K32" s="90">
        <f t="shared" si="7"/>
        <v>159892.01</v>
      </c>
      <c r="L32" s="90">
        <f t="shared" si="8"/>
        <v>79945.99500000001</v>
      </c>
      <c r="M32" s="90">
        <v>159892.01</v>
      </c>
      <c r="N32" s="90">
        <v>79945.99500000001</v>
      </c>
      <c r="O32" s="167">
        <v>79601.429999999993</v>
      </c>
    </row>
    <row r="33" spans="1:18">
      <c r="A33" s="461">
        <v>25</v>
      </c>
      <c r="B33" s="224" t="s">
        <v>611</v>
      </c>
      <c r="C33" s="90" t="s">
        <v>544</v>
      </c>
      <c r="D33" s="489">
        <v>47734.34</v>
      </c>
      <c r="E33" s="376">
        <v>23867.17</v>
      </c>
      <c r="F33" s="199">
        <f t="shared" si="9"/>
        <v>0.5</v>
      </c>
      <c r="G33" s="90">
        <f t="shared" ref="G33:H35" si="12">D33</f>
        <v>47734.34</v>
      </c>
      <c r="H33" s="374">
        <f t="shared" si="12"/>
        <v>23867.17</v>
      </c>
      <c r="I33" s="90"/>
      <c r="J33" s="90" t="s">
        <v>526</v>
      </c>
      <c r="K33" s="90"/>
      <c r="L33" s="90"/>
      <c r="M33" s="90"/>
      <c r="N33" s="90"/>
      <c r="O33" s="167"/>
    </row>
    <row r="34" spans="1:18" ht="24">
      <c r="A34" s="461">
        <v>26</v>
      </c>
      <c r="B34" s="224" t="s">
        <v>610</v>
      </c>
      <c r="C34" s="90" t="s">
        <v>545</v>
      </c>
      <c r="D34" s="490">
        <v>26800</v>
      </c>
      <c r="E34" s="374">
        <v>13400</v>
      </c>
      <c r="F34" s="199">
        <f t="shared" si="9"/>
        <v>0.5</v>
      </c>
      <c r="G34" s="90">
        <f t="shared" si="12"/>
        <v>26800</v>
      </c>
      <c r="H34" s="374">
        <f t="shared" si="12"/>
        <v>13400</v>
      </c>
      <c r="I34" s="90" t="s">
        <v>555</v>
      </c>
      <c r="J34" s="486">
        <v>44764</v>
      </c>
      <c r="K34" s="90">
        <f t="shared" ref="K34:L35" si="13">G34</f>
        <v>26800</v>
      </c>
      <c r="L34" s="90">
        <f t="shared" si="13"/>
        <v>13400</v>
      </c>
      <c r="M34" s="90">
        <f t="shared" ref="M34:N35" si="14">K34</f>
        <v>26800</v>
      </c>
      <c r="N34" s="90">
        <f t="shared" si="14"/>
        <v>13400</v>
      </c>
      <c r="O34" s="90">
        <v>13400</v>
      </c>
    </row>
    <row r="35" spans="1:18" ht="36">
      <c r="A35" s="461">
        <v>27</v>
      </c>
      <c r="B35" s="224" t="s">
        <v>609</v>
      </c>
      <c r="C35" s="90" t="s">
        <v>541</v>
      </c>
      <c r="D35" s="374">
        <v>17000</v>
      </c>
      <c r="E35" s="374">
        <v>8500</v>
      </c>
      <c r="F35" s="199">
        <f t="shared" si="9"/>
        <v>0.5</v>
      </c>
      <c r="G35" s="90">
        <f t="shared" si="12"/>
        <v>17000</v>
      </c>
      <c r="H35" s="374">
        <f t="shared" si="12"/>
        <v>8500</v>
      </c>
      <c r="I35" s="90" t="s">
        <v>556</v>
      </c>
      <c r="J35" s="486">
        <v>45614</v>
      </c>
      <c r="K35" s="90">
        <f t="shared" si="13"/>
        <v>17000</v>
      </c>
      <c r="L35" s="90">
        <f t="shared" si="13"/>
        <v>8500</v>
      </c>
      <c r="M35" s="90">
        <f t="shared" si="14"/>
        <v>17000</v>
      </c>
      <c r="N35" s="90">
        <f t="shared" si="14"/>
        <v>8500</v>
      </c>
      <c r="O35" s="90">
        <v>8500</v>
      </c>
    </row>
    <row r="36" spans="1:18">
      <c r="A36" s="461">
        <v>28</v>
      </c>
      <c r="B36" s="494" t="s">
        <v>528</v>
      </c>
      <c r="C36" s="90" t="s">
        <v>527</v>
      </c>
      <c r="D36" s="374">
        <v>159924</v>
      </c>
      <c r="E36" s="374">
        <v>77000</v>
      </c>
      <c r="F36" s="199">
        <f>E36/D36</f>
        <v>0.48147870238363222</v>
      </c>
      <c r="G36" s="90">
        <f>D36</f>
        <v>159924</v>
      </c>
      <c r="H36" s="374">
        <v>77000</v>
      </c>
      <c r="I36" s="90"/>
      <c r="J36" s="90" t="s">
        <v>526</v>
      </c>
      <c r="K36" s="90"/>
      <c r="L36" s="90"/>
      <c r="M36" s="90"/>
      <c r="N36" s="90"/>
      <c r="O36" s="167"/>
    </row>
    <row r="37" spans="1:18" s="107" customFormat="1">
      <c r="A37" s="611" t="s">
        <v>70</v>
      </c>
      <c r="B37" s="611"/>
      <c r="C37" s="611"/>
      <c r="D37" s="378">
        <f>SUM(D39:D43)</f>
        <v>351868.32</v>
      </c>
      <c r="E37" s="378">
        <f>SUM(E39:E43)</f>
        <v>175934.19</v>
      </c>
      <c r="F37" s="390">
        <f>E37/D37</f>
        <v>0.50000008525916739</v>
      </c>
      <c r="G37" s="378">
        <f>SUM(G39:G43)</f>
        <v>134500</v>
      </c>
      <c r="H37" s="378">
        <f>SUM(H39:H43)</f>
        <v>67250</v>
      </c>
      <c r="I37" s="503"/>
      <c r="J37" s="378"/>
      <c r="K37" s="378">
        <f>SUM(K39:K43)</f>
        <v>134500</v>
      </c>
      <c r="L37" s="378">
        <f>SUM(L39:L43)</f>
        <v>67250</v>
      </c>
      <c r="M37" s="378">
        <f>SUM(M39:M43)</f>
        <v>134500</v>
      </c>
      <c r="N37" s="378">
        <f>SUM(N39:N43)</f>
        <v>67250</v>
      </c>
      <c r="O37" s="378">
        <f>SUM(O39:O43)</f>
        <v>25650</v>
      </c>
    </row>
    <row r="38" spans="1:18" s="107" customFormat="1">
      <c r="A38" s="480"/>
      <c r="B38" s="480"/>
      <c r="C38" s="397">
        <v>25650</v>
      </c>
      <c r="D38" s="378"/>
      <c r="E38" s="378"/>
      <c r="F38" s="390"/>
      <c r="G38" s="378"/>
      <c r="H38" s="378"/>
      <c r="I38" s="503"/>
      <c r="J38" s="378"/>
      <c r="K38" s="378"/>
      <c r="L38" s="378"/>
      <c r="M38" s="378"/>
      <c r="N38" s="378"/>
      <c r="O38" s="378"/>
    </row>
    <row r="39" spans="1:18" ht="36">
      <c r="A39" s="90">
        <v>1</v>
      </c>
      <c r="B39" s="90" t="s">
        <v>608</v>
      </c>
      <c r="C39" s="90" t="s">
        <v>250</v>
      </c>
      <c r="D39" s="90">
        <v>91858.32</v>
      </c>
      <c r="E39" s="90">
        <v>45929.19</v>
      </c>
      <c r="F39" s="199">
        <f t="shared" ref="F39:F41" si="15">E39/D39</f>
        <v>0.50000032658990501</v>
      </c>
      <c r="G39" s="90">
        <v>0</v>
      </c>
      <c r="H39" s="90">
        <v>0</v>
      </c>
      <c r="I39" s="90" t="s">
        <v>323</v>
      </c>
      <c r="J39" s="90" t="s">
        <v>324</v>
      </c>
      <c r="K39" s="90">
        <f t="shared" ref="K39:L41" si="16">G39</f>
        <v>0</v>
      </c>
      <c r="L39" s="90">
        <f t="shared" si="16"/>
        <v>0</v>
      </c>
      <c r="M39" s="90">
        <v>0</v>
      </c>
      <c r="N39" s="90">
        <v>0</v>
      </c>
      <c r="O39" s="90">
        <v>0</v>
      </c>
    </row>
    <row r="40" spans="1:18" ht="57.6">
      <c r="A40" s="90">
        <v>2</v>
      </c>
      <c r="B40" s="72" t="s">
        <v>292</v>
      </c>
      <c r="C40" s="72" t="s">
        <v>251</v>
      </c>
      <c r="D40" s="72">
        <v>83200</v>
      </c>
      <c r="E40" s="72">
        <v>41600</v>
      </c>
      <c r="F40" s="458">
        <f t="shared" si="15"/>
        <v>0.5</v>
      </c>
      <c r="G40" s="72">
        <v>83200</v>
      </c>
      <c r="H40" s="72">
        <v>41600</v>
      </c>
      <c r="I40" s="72" t="s">
        <v>449</v>
      </c>
      <c r="J40" s="713" t="s">
        <v>602</v>
      </c>
      <c r="K40" s="72">
        <f t="shared" si="16"/>
        <v>83200</v>
      </c>
      <c r="L40" s="72">
        <f t="shared" si="16"/>
        <v>41600</v>
      </c>
      <c r="M40" s="72">
        <v>83200</v>
      </c>
      <c r="N40" s="72">
        <v>41600</v>
      </c>
      <c r="O40" s="72">
        <v>0</v>
      </c>
      <c r="P40" s="464" t="s">
        <v>332</v>
      </c>
    </row>
    <row r="41" spans="1:18" ht="36">
      <c r="A41" s="90">
        <v>3</v>
      </c>
      <c r="B41" s="90" t="s">
        <v>325</v>
      </c>
      <c r="C41" s="90" t="s">
        <v>252</v>
      </c>
      <c r="D41" s="90">
        <v>62755</v>
      </c>
      <c r="E41" s="90">
        <v>31377.5</v>
      </c>
      <c r="F41" s="199">
        <f t="shared" si="15"/>
        <v>0.5</v>
      </c>
      <c r="G41" s="90">
        <v>0</v>
      </c>
      <c r="H41" s="90">
        <v>0</v>
      </c>
      <c r="I41" s="90" t="s">
        <v>323</v>
      </c>
      <c r="J41" s="90" t="s">
        <v>324</v>
      </c>
      <c r="K41" s="90">
        <f t="shared" si="16"/>
        <v>0</v>
      </c>
      <c r="L41" s="90">
        <f t="shared" si="16"/>
        <v>0</v>
      </c>
      <c r="M41" s="90">
        <v>0</v>
      </c>
      <c r="N41" s="90">
        <v>0</v>
      </c>
      <c r="O41" s="90">
        <v>0</v>
      </c>
    </row>
    <row r="42" spans="1:18" ht="36">
      <c r="A42" s="90">
        <v>4</v>
      </c>
      <c r="B42" s="90" t="s">
        <v>325</v>
      </c>
      <c r="C42" s="90" t="s">
        <v>252</v>
      </c>
      <c r="D42" s="90">
        <v>62755</v>
      </c>
      <c r="E42" s="90">
        <v>31377.5</v>
      </c>
      <c r="F42" s="199">
        <v>0.5</v>
      </c>
      <c r="G42" s="90">
        <v>0</v>
      </c>
      <c r="H42" s="90">
        <v>0</v>
      </c>
      <c r="I42" s="90" t="s">
        <v>323</v>
      </c>
      <c r="J42" s="90" t="s">
        <v>324</v>
      </c>
      <c r="K42" s="90">
        <v>0</v>
      </c>
      <c r="L42" s="90">
        <v>0</v>
      </c>
      <c r="M42" s="90">
        <v>0</v>
      </c>
      <c r="N42" s="90">
        <v>0</v>
      </c>
      <c r="O42" s="90">
        <v>0</v>
      </c>
    </row>
    <row r="43" spans="1:18">
      <c r="A43" s="90">
        <v>5</v>
      </c>
      <c r="B43" s="90" t="s">
        <v>325</v>
      </c>
      <c r="C43" s="90" t="s">
        <v>376</v>
      </c>
      <c r="D43" s="90">
        <v>51300</v>
      </c>
      <c r="E43" s="90">
        <f>D43/2</f>
        <v>25650</v>
      </c>
      <c r="F43" s="199">
        <v>0.5</v>
      </c>
      <c r="G43" s="90">
        <v>51300</v>
      </c>
      <c r="H43" s="90">
        <v>25650</v>
      </c>
      <c r="I43" s="496" t="s">
        <v>557</v>
      </c>
      <c r="J43" s="495">
        <v>44876</v>
      </c>
      <c r="K43" s="90">
        <v>51300</v>
      </c>
      <c r="L43" s="90">
        <v>25650</v>
      </c>
      <c r="M43" s="90">
        <v>51300</v>
      </c>
      <c r="N43" s="90">
        <f>M43/2</f>
        <v>25650</v>
      </c>
      <c r="O43" s="90">
        <v>25650</v>
      </c>
    </row>
    <row r="44" spans="1:18" s="107" customFormat="1">
      <c r="A44" s="611" t="s">
        <v>71</v>
      </c>
      <c r="B44" s="611"/>
      <c r="C44" s="611"/>
      <c r="D44" s="379">
        <f>SUM(D46:D64)</f>
        <v>1949263.0099999998</v>
      </c>
      <c r="E44" s="379">
        <f t="shared" ref="E44:O44" si="17">SUM(E46:E64)</f>
        <v>1305125.2869999998</v>
      </c>
      <c r="F44" s="379"/>
      <c r="G44" s="379">
        <f t="shared" si="17"/>
        <v>1687417.8699999999</v>
      </c>
      <c r="H44" s="379">
        <f t="shared" si="17"/>
        <v>1104345.574</v>
      </c>
      <c r="I44" s="504">
        <f>SUM(J46:J64)</f>
        <v>450838</v>
      </c>
      <c r="J44" s="379">
        <f>SUM(I46:I64)</f>
        <v>0</v>
      </c>
      <c r="K44" s="379">
        <f t="shared" si="17"/>
        <v>1687417.8699999999</v>
      </c>
      <c r="L44" s="379">
        <f t="shared" si="17"/>
        <v>1104345.575</v>
      </c>
      <c r="M44" s="379">
        <f t="shared" si="17"/>
        <v>1643705.6199999999</v>
      </c>
      <c r="N44" s="379">
        <f t="shared" si="17"/>
        <v>1093042.9470000002</v>
      </c>
      <c r="O44" s="379">
        <f t="shared" si="17"/>
        <v>552014.43699999992</v>
      </c>
    </row>
    <row r="45" spans="1:18" s="107" customFormat="1">
      <c r="A45" s="480"/>
      <c r="B45" s="480"/>
      <c r="C45" s="398">
        <v>766150</v>
      </c>
      <c r="D45" s="378"/>
      <c r="E45" s="379"/>
      <c r="F45" s="380"/>
      <c r="G45" s="378"/>
      <c r="H45" s="379"/>
      <c r="I45" s="503"/>
      <c r="J45" s="378"/>
      <c r="K45" s="378"/>
      <c r="L45" s="379"/>
      <c r="M45" s="378"/>
      <c r="N45" s="379"/>
      <c r="O45" s="378"/>
      <c r="R45" s="439"/>
    </row>
    <row r="46" spans="1:18" ht="36">
      <c r="A46" s="381">
        <v>1</v>
      </c>
      <c r="B46" s="198" t="s">
        <v>261</v>
      </c>
      <c r="C46" s="90" t="s">
        <v>262</v>
      </c>
      <c r="D46" s="90">
        <v>268845.14</v>
      </c>
      <c r="E46" s="382">
        <f t="shared" ref="E46:E50" si="18">D46*70%</f>
        <v>188191.598</v>
      </c>
      <c r="F46" s="383">
        <f>E46/D46</f>
        <v>0.7</v>
      </c>
      <c r="G46" s="90">
        <v>0</v>
      </c>
      <c r="H46" s="382">
        <v>0</v>
      </c>
      <c r="I46" s="384" t="s">
        <v>326</v>
      </c>
      <c r="J46" s="90" t="s">
        <v>323</v>
      </c>
      <c r="K46" s="90"/>
      <c r="L46" s="382"/>
      <c r="M46" s="90">
        <v>0</v>
      </c>
      <c r="N46" s="382">
        <v>0</v>
      </c>
      <c r="O46" s="90">
        <v>0</v>
      </c>
    </row>
    <row r="47" spans="1:18" ht="24">
      <c r="A47" s="381">
        <v>2</v>
      </c>
      <c r="B47" s="198" t="s">
        <v>263</v>
      </c>
      <c r="C47" s="90" t="s">
        <v>264</v>
      </c>
      <c r="D47" s="90">
        <v>29969.16</v>
      </c>
      <c r="E47" s="382">
        <f t="shared" si="18"/>
        <v>20978.412</v>
      </c>
      <c r="F47" s="383">
        <f t="shared" ref="F47:F57" si="19">E47/D47</f>
        <v>0.70000000000000007</v>
      </c>
      <c r="G47" s="90">
        <f t="shared" ref="G47:H50" si="20">D47</f>
        <v>29969.16</v>
      </c>
      <c r="H47" s="382">
        <f t="shared" si="20"/>
        <v>20978.412</v>
      </c>
      <c r="I47" s="488" t="s">
        <v>558</v>
      </c>
      <c r="J47" s="505" t="s">
        <v>572</v>
      </c>
      <c r="K47" s="90">
        <v>29969.16</v>
      </c>
      <c r="L47" s="382">
        <v>20978.41</v>
      </c>
      <c r="M47" s="90">
        <v>29969.16</v>
      </c>
      <c r="N47" s="382">
        <v>20978.412</v>
      </c>
      <c r="O47" s="109">
        <v>20978.412</v>
      </c>
    </row>
    <row r="48" spans="1:18" ht="14.4">
      <c r="A48" s="381">
        <v>3</v>
      </c>
      <c r="B48" s="198" t="s">
        <v>265</v>
      </c>
      <c r="C48" s="90" t="s">
        <v>266</v>
      </c>
      <c r="D48" s="90">
        <v>118183</v>
      </c>
      <c r="E48" s="382">
        <f t="shared" si="18"/>
        <v>82728.099999999991</v>
      </c>
      <c r="F48" s="383">
        <f t="shared" si="19"/>
        <v>0.7</v>
      </c>
      <c r="G48" s="90">
        <f t="shared" si="20"/>
        <v>118183</v>
      </c>
      <c r="H48" s="382">
        <f t="shared" si="20"/>
        <v>82728.099999999991</v>
      </c>
      <c r="I48" s="488" t="s">
        <v>559</v>
      </c>
      <c r="J48" s="505" t="s">
        <v>573</v>
      </c>
      <c r="K48" s="90">
        <v>118183</v>
      </c>
      <c r="L48" s="382">
        <v>82728.099999999991</v>
      </c>
      <c r="M48" s="90">
        <v>118183</v>
      </c>
      <c r="N48" s="382">
        <v>82728.099999999991</v>
      </c>
      <c r="O48" s="465">
        <v>82728.099999999991</v>
      </c>
    </row>
    <row r="49" spans="1:15" ht="57.6">
      <c r="A49" s="381">
        <v>4</v>
      </c>
      <c r="B49" s="198" t="s">
        <v>267</v>
      </c>
      <c r="C49" s="72" t="s">
        <v>268</v>
      </c>
      <c r="D49" s="72">
        <v>380963.16</v>
      </c>
      <c r="E49" s="460">
        <f t="shared" si="18"/>
        <v>266674.21199999994</v>
      </c>
      <c r="F49" s="466">
        <f t="shared" si="19"/>
        <v>0.69999999999999984</v>
      </c>
      <c r="G49" s="72">
        <f t="shared" si="20"/>
        <v>380963.16</v>
      </c>
      <c r="H49" s="460">
        <f t="shared" si="20"/>
        <v>266674.21199999994</v>
      </c>
      <c r="I49" s="498" t="s">
        <v>560</v>
      </c>
      <c r="J49" s="498" t="s">
        <v>574</v>
      </c>
      <c r="K49" s="72">
        <v>380963.16</v>
      </c>
      <c r="L49" s="460">
        <v>266674.21000000002</v>
      </c>
      <c r="M49" s="72">
        <v>380963.16</v>
      </c>
      <c r="N49" s="460">
        <v>266674.21000000002</v>
      </c>
      <c r="O49" s="72">
        <v>0</v>
      </c>
    </row>
    <row r="50" spans="1:15" ht="72">
      <c r="A50" s="381">
        <v>5</v>
      </c>
      <c r="B50" s="198" t="s">
        <v>269</v>
      </c>
      <c r="C50" s="72" t="s">
        <v>270</v>
      </c>
      <c r="D50" s="72">
        <v>35628</v>
      </c>
      <c r="E50" s="460">
        <f t="shared" si="18"/>
        <v>24939.599999999999</v>
      </c>
      <c r="F50" s="466">
        <f t="shared" si="19"/>
        <v>0.7</v>
      </c>
      <c r="G50" s="72">
        <f t="shared" si="20"/>
        <v>35628</v>
      </c>
      <c r="H50" s="460">
        <f t="shared" si="20"/>
        <v>24939.599999999999</v>
      </c>
      <c r="I50" s="498" t="s">
        <v>561</v>
      </c>
      <c r="J50" s="715" t="s">
        <v>603</v>
      </c>
      <c r="K50" s="72">
        <v>35628</v>
      </c>
      <c r="L50" s="460">
        <v>24939.599999999999</v>
      </c>
      <c r="M50" s="72">
        <v>35628</v>
      </c>
      <c r="N50" s="460">
        <v>24939.599999999999</v>
      </c>
      <c r="O50" s="72">
        <v>0</v>
      </c>
    </row>
    <row r="51" spans="1:15" ht="43.2">
      <c r="A51" s="381">
        <v>6</v>
      </c>
      <c r="B51" s="198" t="s">
        <v>271</v>
      </c>
      <c r="C51" s="72" t="s">
        <v>272</v>
      </c>
      <c r="D51" s="72">
        <v>20661.650000000001</v>
      </c>
      <c r="E51" s="460">
        <v>16624.88</v>
      </c>
      <c r="F51" s="466">
        <f t="shared" si="19"/>
        <v>0.80462499364765161</v>
      </c>
      <c r="G51" s="72">
        <v>20661.650000000001</v>
      </c>
      <c r="H51" s="460">
        <v>4036.77</v>
      </c>
      <c r="I51" s="498" t="s">
        <v>562</v>
      </c>
      <c r="J51" s="498" t="s">
        <v>604</v>
      </c>
      <c r="K51" s="72">
        <v>20661.650000000001</v>
      </c>
      <c r="L51" s="460">
        <v>4036.77</v>
      </c>
      <c r="M51" s="72"/>
      <c r="N51" s="460"/>
      <c r="O51" s="72">
        <v>0</v>
      </c>
    </row>
    <row r="52" spans="1:15" ht="14.4">
      <c r="A52" s="381">
        <v>7</v>
      </c>
      <c r="B52" s="198" t="s">
        <v>297</v>
      </c>
      <c r="C52" s="90" t="s">
        <v>327</v>
      </c>
      <c r="D52" s="374">
        <v>15312</v>
      </c>
      <c r="E52" s="382">
        <v>10718.4</v>
      </c>
      <c r="F52" s="383">
        <f>E52/D52</f>
        <v>0.7</v>
      </c>
      <c r="G52" s="374">
        <v>15312</v>
      </c>
      <c r="H52" s="382">
        <v>10718.4</v>
      </c>
      <c r="I52" s="488" t="s">
        <v>457</v>
      </c>
      <c r="J52" s="505" t="s">
        <v>575</v>
      </c>
      <c r="K52" s="374">
        <v>15312</v>
      </c>
      <c r="L52" s="382">
        <v>10718.4</v>
      </c>
      <c r="M52" s="374">
        <v>15312</v>
      </c>
      <c r="N52" s="374">
        <v>10718.4</v>
      </c>
      <c r="O52" s="90">
        <v>10718.4</v>
      </c>
    </row>
    <row r="53" spans="1:15" ht="24">
      <c r="A53" s="381">
        <v>8</v>
      </c>
      <c r="B53" s="198" t="s">
        <v>296</v>
      </c>
      <c r="C53" s="90" t="s">
        <v>295</v>
      </c>
      <c r="D53" s="374">
        <v>88500</v>
      </c>
      <c r="E53" s="382">
        <v>61950</v>
      </c>
      <c r="F53" s="383">
        <f t="shared" si="19"/>
        <v>0.7</v>
      </c>
      <c r="G53" s="374">
        <v>88500</v>
      </c>
      <c r="H53" s="382">
        <v>61950</v>
      </c>
      <c r="I53" s="488" t="s">
        <v>452</v>
      </c>
      <c r="J53" s="505" t="s">
        <v>576</v>
      </c>
      <c r="K53" s="374">
        <v>88500</v>
      </c>
      <c r="L53" s="382">
        <v>61950</v>
      </c>
      <c r="M53" s="374">
        <v>88500</v>
      </c>
      <c r="N53" s="374">
        <v>61950</v>
      </c>
      <c r="O53" s="382">
        <v>61950</v>
      </c>
    </row>
    <row r="54" spans="1:15" ht="14.4">
      <c r="A54" s="381">
        <v>9</v>
      </c>
      <c r="B54" s="198" t="s">
        <v>300</v>
      </c>
      <c r="C54" s="224" t="s">
        <v>299</v>
      </c>
      <c r="D54" s="374">
        <v>29916</v>
      </c>
      <c r="E54" s="382">
        <v>20941.2</v>
      </c>
      <c r="F54" s="383">
        <f t="shared" si="19"/>
        <v>0.70000000000000007</v>
      </c>
      <c r="G54" s="374">
        <v>29916</v>
      </c>
      <c r="H54" s="382">
        <v>20941.2</v>
      </c>
      <c r="I54" s="488" t="s">
        <v>460</v>
      </c>
      <c r="J54" s="506">
        <v>44473</v>
      </c>
      <c r="K54" s="374">
        <v>29916</v>
      </c>
      <c r="L54" s="382">
        <v>20941.2</v>
      </c>
      <c r="M54" s="90">
        <v>29916</v>
      </c>
      <c r="N54" s="90">
        <v>20929.86</v>
      </c>
      <c r="O54" s="90">
        <v>20929.86</v>
      </c>
    </row>
    <row r="55" spans="1:15" ht="36">
      <c r="A55" s="381">
        <v>10</v>
      </c>
      <c r="B55" s="198" t="s">
        <v>261</v>
      </c>
      <c r="C55" s="108" t="s">
        <v>262</v>
      </c>
      <c r="D55" s="112">
        <v>189090</v>
      </c>
      <c r="E55" s="89">
        <v>132363</v>
      </c>
      <c r="F55" s="383">
        <f t="shared" si="19"/>
        <v>0.7</v>
      </c>
      <c r="G55" s="112">
        <v>189090</v>
      </c>
      <c r="H55" s="89">
        <v>132363</v>
      </c>
      <c r="I55" s="488" t="s">
        <v>463</v>
      </c>
      <c r="J55" s="507">
        <v>44502</v>
      </c>
      <c r="K55" s="112">
        <v>189090</v>
      </c>
      <c r="L55" s="89">
        <v>132363</v>
      </c>
      <c r="M55" s="374">
        <v>189090</v>
      </c>
      <c r="N55" s="374">
        <v>132363</v>
      </c>
      <c r="O55" s="90">
        <v>97018.6</v>
      </c>
    </row>
    <row r="56" spans="1:15" ht="43.2">
      <c r="A56" s="381">
        <v>11</v>
      </c>
      <c r="B56" s="471" t="s">
        <v>344</v>
      </c>
      <c r="C56" s="457" t="s">
        <v>345</v>
      </c>
      <c r="D56" s="462">
        <v>10363.6</v>
      </c>
      <c r="E56" s="460">
        <v>7254.52</v>
      </c>
      <c r="F56" s="466">
        <f t="shared" si="19"/>
        <v>0.70000000000000007</v>
      </c>
      <c r="G56" s="462">
        <v>10363.6</v>
      </c>
      <c r="H56" s="460">
        <v>7254.52</v>
      </c>
      <c r="I56" s="499" t="s">
        <v>563</v>
      </c>
      <c r="J56" s="499" t="s">
        <v>605</v>
      </c>
      <c r="K56" s="462">
        <v>10363.6</v>
      </c>
      <c r="L56" s="460">
        <v>7254.52</v>
      </c>
      <c r="M56" s="374"/>
      <c r="N56" s="382"/>
      <c r="O56" s="90"/>
    </row>
    <row r="57" spans="1:15" ht="72">
      <c r="A57" s="381">
        <v>12</v>
      </c>
      <c r="B57" s="198" t="s">
        <v>346</v>
      </c>
      <c r="C57" s="108" t="s">
        <v>375</v>
      </c>
      <c r="D57" s="112">
        <v>72286</v>
      </c>
      <c r="E57" s="89">
        <v>50412.26</v>
      </c>
      <c r="F57" s="383">
        <f t="shared" si="19"/>
        <v>0.69740004980217474</v>
      </c>
      <c r="G57" s="112">
        <v>72286</v>
      </c>
      <c r="H57" s="89">
        <v>50412.26</v>
      </c>
      <c r="I57" s="488" t="s">
        <v>564</v>
      </c>
      <c r="J57" s="507">
        <v>44963</v>
      </c>
      <c r="K57" s="112">
        <v>72286</v>
      </c>
      <c r="L57" s="89">
        <v>50412.26</v>
      </c>
      <c r="M57" s="90">
        <v>72286</v>
      </c>
      <c r="N57" s="90">
        <v>50412.26</v>
      </c>
      <c r="O57" s="374">
        <v>50412.26</v>
      </c>
    </row>
    <row r="58" spans="1:15" ht="14.4">
      <c r="A58" s="381">
        <v>13</v>
      </c>
      <c r="B58" s="198" t="s">
        <v>495</v>
      </c>
      <c r="C58" s="385" t="s">
        <v>498</v>
      </c>
      <c r="D58" s="112">
        <v>280641.15000000002</v>
      </c>
      <c r="E58" s="89">
        <v>196448.8</v>
      </c>
      <c r="F58" s="112">
        <f t="shared" ref="F58:F63" si="21">E58/D58</f>
        <v>0.69999998218365334</v>
      </c>
      <c r="G58" s="89">
        <f>D58</f>
        <v>280641.15000000002</v>
      </c>
      <c r="H58" s="112">
        <f>E58</f>
        <v>196448.8</v>
      </c>
      <c r="I58" s="488" t="s">
        <v>565</v>
      </c>
      <c r="J58" s="506">
        <v>45322</v>
      </c>
      <c r="K58" s="89">
        <f>D58</f>
        <v>280641.15000000002</v>
      </c>
      <c r="L58" s="112">
        <f>E58</f>
        <v>196448.8</v>
      </c>
      <c r="M58" s="90">
        <v>280641.15000000002</v>
      </c>
      <c r="N58" s="90">
        <v>196448.8</v>
      </c>
      <c r="O58" s="374">
        <v>0</v>
      </c>
    </row>
    <row r="59" spans="1:15" ht="14.4">
      <c r="A59" s="381">
        <v>14</v>
      </c>
      <c r="B59" s="198" t="s">
        <v>496</v>
      </c>
      <c r="C59" s="385" t="s">
        <v>499</v>
      </c>
      <c r="D59" s="112">
        <v>190690</v>
      </c>
      <c r="E59" s="89">
        <v>95345</v>
      </c>
      <c r="F59" s="112">
        <f t="shared" si="21"/>
        <v>0.5</v>
      </c>
      <c r="G59" s="89">
        <f>D59</f>
        <v>190690</v>
      </c>
      <c r="H59" s="112">
        <f>E59</f>
        <v>95345</v>
      </c>
      <c r="I59" s="488" t="s">
        <v>566</v>
      </c>
      <c r="J59" s="507">
        <v>44951</v>
      </c>
      <c r="K59" s="89">
        <f>D59</f>
        <v>190690</v>
      </c>
      <c r="L59" s="112">
        <f>E59</f>
        <v>95345</v>
      </c>
      <c r="M59" s="90">
        <v>190690</v>
      </c>
      <c r="N59" s="90">
        <v>95345</v>
      </c>
      <c r="O59" s="374">
        <v>95345</v>
      </c>
    </row>
    <row r="60" spans="1:15" ht="24">
      <c r="A60" s="381">
        <v>15</v>
      </c>
      <c r="B60" s="198" t="s">
        <v>497</v>
      </c>
      <c r="C60" s="385" t="s">
        <v>500</v>
      </c>
      <c r="D60" s="112">
        <v>80730</v>
      </c>
      <c r="E60" s="89">
        <v>40365</v>
      </c>
      <c r="F60" s="112">
        <f t="shared" si="21"/>
        <v>0.5</v>
      </c>
      <c r="G60" s="89">
        <v>87730</v>
      </c>
      <c r="H60" s="112">
        <v>40365</v>
      </c>
      <c r="I60" s="488" t="s">
        <v>567</v>
      </c>
      <c r="J60" s="507">
        <v>45126</v>
      </c>
      <c r="K60" s="89">
        <v>87730</v>
      </c>
      <c r="L60" s="112">
        <v>40365</v>
      </c>
      <c r="M60" s="90">
        <v>87730</v>
      </c>
      <c r="N60" s="90">
        <v>40365</v>
      </c>
      <c r="O60" s="90">
        <v>40365</v>
      </c>
    </row>
    <row r="61" spans="1:15" ht="72">
      <c r="A61" s="381">
        <v>16</v>
      </c>
      <c r="B61" s="385" t="s">
        <v>505</v>
      </c>
      <c r="C61" s="385" t="s">
        <v>507</v>
      </c>
      <c r="D61" s="112">
        <v>29960</v>
      </c>
      <c r="E61" s="89">
        <f>D61*F61</f>
        <v>20972</v>
      </c>
      <c r="F61" s="112">
        <v>0.7</v>
      </c>
      <c r="G61" s="112">
        <v>29960</v>
      </c>
      <c r="H61" s="89">
        <v>20972</v>
      </c>
      <c r="I61" s="488" t="s">
        <v>568</v>
      </c>
      <c r="J61" s="506">
        <v>45259</v>
      </c>
      <c r="K61" s="112">
        <v>29960</v>
      </c>
      <c r="L61" s="382">
        <v>20972</v>
      </c>
      <c r="M61" s="90">
        <v>29960</v>
      </c>
      <c r="N61" s="90">
        <v>20972</v>
      </c>
      <c r="O61" s="374">
        <v>20972</v>
      </c>
    </row>
    <row r="62" spans="1:15" ht="14.4">
      <c r="A62" s="381">
        <v>17</v>
      </c>
      <c r="B62" s="467" t="s">
        <v>265</v>
      </c>
      <c r="C62" s="385" t="s">
        <v>508</v>
      </c>
      <c r="D62" s="112">
        <v>29991.15</v>
      </c>
      <c r="E62" s="89">
        <f>D62*F62</f>
        <v>20993.805</v>
      </c>
      <c r="F62" s="112">
        <v>0.7</v>
      </c>
      <c r="G62" s="112">
        <v>29991.15</v>
      </c>
      <c r="H62" s="89">
        <v>20993.8</v>
      </c>
      <c r="I62" s="488" t="s">
        <v>569</v>
      </c>
      <c r="J62" s="506">
        <v>45331</v>
      </c>
      <c r="K62" s="112">
        <v>29991.15</v>
      </c>
      <c r="L62" s="89">
        <v>20993.805</v>
      </c>
      <c r="M62" s="90">
        <v>29991.15</v>
      </c>
      <c r="N62" s="90">
        <v>20993.805</v>
      </c>
      <c r="O62" s="374">
        <v>20993.805</v>
      </c>
    </row>
    <row r="63" spans="1:15" ht="72">
      <c r="A63" s="381">
        <v>18</v>
      </c>
      <c r="B63" s="467" t="s">
        <v>506</v>
      </c>
      <c r="C63" s="385" t="s">
        <v>509</v>
      </c>
      <c r="D63" s="112">
        <v>35243</v>
      </c>
      <c r="E63" s="89">
        <v>17621.5</v>
      </c>
      <c r="F63" s="112">
        <f t="shared" si="21"/>
        <v>0.5</v>
      </c>
      <c r="G63" s="112">
        <v>35243</v>
      </c>
      <c r="H63" s="89">
        <v>17621.5</v>
      </c>
      <c r="I63" s="488" t="s">
        <v>570</v>
      </c>
      <c r="J63" s="506">
        <v>45335</v>
      </c>
      <c r="K63" s="112">
        <v>35243</v>
      </c>
      <c r="L63" s="89">
        <v>17621.5</v>
      </c>
      <c r="M63" s="90">
        <v>35243</v>
      </c>
      <c r="N63" s="90">
        <v>17621.5</v>
      </c>
      <c r="O63" s="374">
        <v>0</v>
      </c>
    </row>
    <row r="64" spans="1:15" ht="24.6" thickBot="1">
      <c r="A64" s="381">
        <v>19</v>
      </c>
      <c r="B64" s="468" t="s">
        <v>529</v>
      </c>
      <c r="C64" s="468" t="s">
        <v>530</v>
      </c>
      <c r="D64" s="469">
        <v>42290</v>
      </c>
      <c r="E64" s="470">
        <f>D64*F64</f>
        <v>29602.999999999996</v>
      </c>
      <c r="F64" s="226">
        <v>0.7</v>
      </c>
      <c r="G64" s="226">
        <f>D64</f>
        <v>42290</v>
      </c>
      <c r="H64" s="470">
        <f>G64*70%</f>
        <v>29602.999999999996</v>
      </c>
      <c r="I64" s="500" t="s">
        <v>571</v>
      </c>
      <c r="J64" s="508">
        <v>45576</v>
      </c>
      <c r="K64" s="226">
        <v>42290</v>
      </c>
      <c r="L64" s="226">
        <v>29603</v>
      </c>
      <c r="M64" s="718">
        <v>29603</v>
      </c>
      <c r="N64" s="719">
        <v>29603</v>
      </c>
      <c r="O64" s="720">
        <v>29603</v>
      </c>
    </row>
    <row r="65" spans="1:15">
      <c r="A65" s="615" t="s">
        <v>72</v>
      </c>
      <c r="B65" s="616"/>
      <c r="C65" s="617"/>
      <c r="D65" s="378">
        <f>SUM(D67:D80)</f>
        <v>1991772.0699999998</v>
      </c>
      <c r="E65" s="378">
        <f t="shared" ref="E65:O65" si="22">SUM(E67:E80)</f>
        <v>1991772.0699999998</v>
      </c>
      <c r="F65" s="378">
        <f t="shared" si="22"/>
        <v>14</v>
      </c>
      <c r="G65" s="378">
        <f t="shared" si="22"/>
        <v>1931861.3099999998</v>
      </c>
      <c r="H65" s="378">
        <f t="shared" si="22"/>
        <v>1931861.3099999998</v>
      </c>
      <c r="I65" s="503">
        <f>SUM(J67:J80)</f>
        <v>315706</v>
      </c>
      <c r="J65" s="378">
        <f>SUM(I67:I80)</f>
        <v>0</v>
      </c>
      <c r="K65" s="378">
        <f t="shared" si="22"/>
        <v>1931861.3099999998</v>
      </c>
      <c r="L65" s="378">
        <f t="shared" si="22"/>
        <v>1931861.3099999998</v>
      </c>
      <c r="M65" s="378">
        <f t="shared" si="22"/>
        <v>1882753.7999999996</v>
      </c>
      <c r="N65" s="378">
        <f t="shared" si="22"/>
        <v>1813506.2799999996</v>
      </c>
      <c r="O65" s="378">
        <f t="shared" si="22"/>
        <v>1675644.8699999999</v>
      </c>
    </row>
    <row r="66" spans="1:15">
      <c r="A66" s="481"/>
      <c r="B66" s="482"/>
      <c r="C66" s="399">
        <v>1801500</v>
      </c>
      <c r="D66" s="378"/>
      <c r="E66" s="378"/>
      <c r="F66" s="378"/>
      <c r="G66" s="378"/>
      <c r="H66" s="378"/>
      <c r="I66" s="503"/>
      <c r="J66" s="378"/>
      <c r="K66" s="378"/>
      <c r="L66" s="378"/>
      <c r="M66" s="378"/>
      <c r="N66" s="378"/>
      <c r="O66" s="378"/>
    </row>
    <row r="67" spans="1:15" ht="14.4">
      <c r="A67" s="90">
        <v>1</v>
      </c>
      <c r="B67" s="90" t="s">
        <v>253</v>
      </c>
      <c r="C67" s="90" t="s">
        <v>255</v>
      </c>
      <c r="D67" s="90">
        <v>137255.26</v>
      </c>
      <c r="E67" s="90">
        <v>137255.26</v>
      </c>
      <c r="F67" s="199">
        <f t="shared" ref="F67:F72" si="23">E67/D67</f>
        <v>1</v>
      </c>
      <c r="G67" s="90">
        <f>D67</f>
        <v>137255.26</v>
      </c>
      <c r="H67" s="90">
        <f>E67</f>
        <v>137255.26</v>
      </c>
      <c r="I67" s="488" t="s">
        <v>475</v>
      </c>
      <c r="J67" s="513" t="s">
        <v>584</v>
      </c>
      <c r="K67" s="90">
        <f t="shared" ref="K67:L71" si="24">G67</f>
        <v>137255.26</v>
      </c>
      <c r="L67" s="90">
        <f t="shared" si="24"/>
        <v>137255.26</v>
      </c>
      <c r="M67" s="90">
        <v>137255.26</v>
      </c>
      <c r="N67" s="90">
        <v>133834.04</v>
      </c>
      <c r="O67" s="90">
        <v>130873.76</v>
      </c>
    </row>
    <row r="68" spans="1:15" ht="24">
      <c r="A68" s="90">
        <v>2</v>
      </c>
      <c r="B68" s="90" t="s">
        <v>254</v>
      </c>
      <c r="C68" s="90" t="s">
        <v>256</v>
      </c>
      <c r="D68" s="90">
        <v>282245.27</v>
      </c>
      <c r="E68" s="90">
        <v>282245.27</v>
      </c>
      <c r="F68" s="199">
        <f t="shared" si="23"/>
        <v>1</v>
      </c>
      <c r="G68" s="90">
        <f t="shared" ref="G68:H71" si="25">D68</f>
        <v>282245.27</v>
      </c>
      <c r="H68" s="90">
        <f t="shared" si="25"/>
        <v>282245.27</v>
      </c>
      <c r="I68" s="488" t="s">
        <v>466</v>
      </c>
      <c r="J68" s="513" t="s">
        <v>585</v>
      </c>
      <c r="K68" s="90">
        <f t="shared" si="24"/>
        <v>282245.27</v>
      </c>
      <c r="L68" s="90">
        <f t="shared" si="24"/>
        <v>282245.27</v>
      </c>
      <c r="M68" s="90">
        <v>271908.46000000002</v>
      </c>
      <c r="N68" s="90">
        <v>271908.46000000002</v>
      </c>
      <c r="O68" s="90">
        <v>268325.44</v>
      </c>
    </row>
    <row r="69" spans="1:15" ht="14.4">
      <c r="A69" s="90">
        <v>3</v>
      </c>
      <c r="B69" s="90" t="s">
        <v>254</v>
      </c>
      <c r="C69" s="90" t="s">
        <v>257</v>
      </c>
      <c r="D69" s="90">
        <v>101739</v>
      </c>
      <c r="E69" s="90">
        <v>101739</v>
      </c>
      <c r="F69" s="199">
        <f t="shared" si="23"/>
        <v>1</v>
      </c>
      <c r="G69" s="90">
        <f t="shared" si="25"/>
        <v>101739</v>
      </c>
      <c r="H69" s="90">
        <f t="shared" si="25"/>
        <v>101739</v>
      </c>
      <c r="I69" s="488" t="s">
        <v>471</v>
      </c>
      <c r="J69" s="513" t="s">
        <v>586</v>
      </c>
      <c r="K69" s="90">
        <f t="shared" si="24"/>
        <v>101739</v>
      </c>
      <c r="L69" s="90">
        <f t="shared" si="24"/>
        <v>101739</v>
      </c>
      <c r="M69" s="90">
        <v>169387.71</v>
      </c>
      <c r="N69" s="90">
        <v>101391.5</v>
      </c>
      <c r="O69" s="90">
        <v>98877.78</v>
      </c>
    </row>
    <row r="70" spans="1:15" ht="14.4">
      <c r="A70" s="90">
        <v>4</v>
      </c>
      <c r="B70" s="90" t="s">
        <v>254</v>
      </c>
      <c r="C70" s="90" t="s">
        <v>258</v>
      </c>
      <c r="D70" s="90">
        <v>172331.93</v>
      </c>
      <c r="E70" s="90">
        <v>172331.93</v>
      </c>
      <c r="F70" s="199">
        <f t="shared" si="23"/>
        <v>1</v>
      </c>
      <c r="G70" s="90">
        <f t="shared" si="25"/>
        <v>172331.93</v>
      </c>
      <c r="H70" s="90">
        <f t="shared" si="25"/>
        <v>172331.93</v>
      </c>
      <c r="I70" s="488" t="s">
        <v>467</v>
      </c>
      <c r="J70" s="513" t="s">
        <v>586</v>
      </c>
      <c r="K70" s="90">
        <f t="shared" si="24"/>
        <v>172331.93</v>
      </c>
      <c r="L70" s="90">
        <f t="shared" si="24"/>
        <v>172331.93</v>
      </c>
      <c r="M70" s="90">
        <v>101391.5</v>
      </c>
      <c r="N70" s="90">
        <v>169077.06</v>
      </c>
      <c r="O70" s="90">
        <v>166839.66</v>
      </c>
    </row>
    <row r="71" spans="1:15" ht="14.4">
      <c r="A71" s="90">
        <v>5</v>
      </c>
      <c r="B71" s="90" t="s">
        <v>254</v>
      </c>
      <c r="C71" s="90" t="s">
        <v>259</v>
      </c>
      <c r="D71" s="90">
        <v>273775.49</v>
      </c>
      <c r="E71" s="90">
        <v>273775.49</v>
      </c>
      <c r="F71" s="199">
        <f t="shared" si="23"/>
        <v>1</v>
      </c>
      <c r="G71" s="90">
        <f t="shared" si="25"/>
        <v>273775.49</v>
      </c>
      <c r="H71" s="90">
        <f t="shared" si="25"/>
        <v>273775.49</v>
      </c>
      <c r="I71" s="488" t="s">
        <v>469</v>
      </c>
      <c r="J71" s="513" t="s">
        <v>587</v>
      </c>
      <c r="K71" s="90">
        <f t="shared" si="24"/>
        <v>273775.49</v>
      </c>
      <c r="L71" s="90">
        <f t="shared" si="24"/>
        <v>273775.49</v>
      </c>
      <c r="M71" s="90">
        <v>243884.5</v>
      </c>
      <c r="N71" s="90">
        <v>227803.18</v>
      </c>
      <c r="O71" s="90">
        <v>218923.91</v>
      </c>
    </row>
    <row r="72" spans="1:15" ht="14.4">
      <c r="A72" s="90">
        <v>6</v>
      </c>
      <c r="B72" s="90" t="s">
        <v>253</v>
      </c>
      <c r="C72" s="90" t="s">
        <v>260</v>
      </c>
      <c r="D72" s="90">
        <v>182249.66</v>
      </c>
      <c r="E72" s="90">
        <v>182249.66</v>
      </c>
      <c r="F72" s="199">
        <f t="shared" si="23"/>
        <v>1</v>
      </c>
      <c r="G72" s="90">
        <v>182249.66</v>
      </c>
      <c r="H72" s="90">
        <v>182249.66</v>
      </c>
      <c r="I72" s="488" t="s">
        <v>477</v>
      </c>
      <c r="J72" s="514">
        <v>44074</v>
      </c>
      <c r="K72" s="90">
        <v>182249.66</v>
      </c>
      <c r="L72" s="90">
        <v>182249.66</v>
      </c>
      <c r="M72" s="90">
        <v>181252.87</v>
      </c>
      <c r="N72" s="90">
        <v>181250.44</v>
      </c>
      <c r="O72" s="90">
        <v>179661.56</v>
      </c>
    </row>
    <row r="73" spans="1:15" ht="14.4">
      <c r="A73" s="90">
        <v>7</v>
      </c>
      <c r="B73" s="90" t="s">
        <v>254</v>
      </c>
      <c r="C73" s="90" t="s">
        <v>504</v>
      </c>
      <c r="D73" s="472">
        <v>258422.92</v>
      </c>
      <c r="E73" s="472">
        <v>258422.92</v>
      </c>
      <c r="F73" s="199">
        <v>1</v>
      </c>
      <c r="G73" s="90">
        <f>D73</f>
        <v>258422.92</v>
      </c>
      <c r="H73" s="90">
        <f>E73</f>
        <v>258422.92</v>
      </c>
      <c r="I73" s="488" t="s">
        <v>577</v>
      </c>
      <c r="J73" s="514" t="s">
        <v>588</v>
      </c>
      <c r="K73" s="90">
        <f>G73</f>
        <v>258422.92</v>
      </c>
      <c r="L73" s="90">
        <f>H73</f>
        <v>258422.92</v>
      </c>
      <c r="M73" s="90">
        <v>258422.92</v>
      </c>
      <c r="N73" s="90">
        <v>232188.72</v>
      </c>
      <c r="O73" s="90">
        <v>231868.26</v>
      </c>
    </row>
    <row r="74" spans="1:15" ht="14.4">
      <c r="A74" s="90">
        <v>8</v>
      </c>
      <c r="B74" s="90" t="s">
        <v>254</v>
      </c>
      <c r="C74" s="90" t="s">
        <v>501</v>
      </c>
      <c r="D74" s="472">
        <v>58234.15</v>
      </c>
      <c r="E74" s="472">
        <v>58234.15</v>
      </c>
      <c r="F74" s="199">
        <v>1</v>
      </c>
      <c r="G74" s="90">
        <f t="shared" ref="G74:H76" si="26">D74</f>
        <v>58234.15</v>
      </c>
      <c r="H74" s="90">
        <f t="shared" si="26"/>
        <v>58234.15</v>
      </c>
      <c r="I74" s="488" t="s">
        <v>578</v>
      </c>
      <c r="J74" s="487">
        <v>44880</v>
      </c>
      <c r="K74" s="90">
        <f t="shared" ref="K74:L76" si="27">G74</f>
        <v>58234.15</v>
      </c>
      <c r="L74" s="90">
        <f t="shared" si="27"/>
        <v>58234.15</v>
      </c>
      <c r="M74" s="90">
        <v>58234.15</v>
      </c>
      <c r="N74" s="90">
        <v>55934.15</v>
      </c>
      <c r="O74" s="90">
        <v>55934.15</v>
      </c>
    </row>
    <row r="75" spans="1:15" ht="14.4">
      <c r="A75" s="90">
        <v>9</v>
      </c>
      <c r="B75" s="90" t="s">
        <v>254</v>
      </c>
      <c r="C75" s="90" t="s">
        <v>502</v>
      </c>
      <c r="D75" s="472">
        <v>49783.02</v>
      </c>
      <c r="E75" s="472">
        <v>49783.02</v>
      </c>
      <c r="F75" s="199">
        <v>1</v>
      </c>
      <c r="G75" s="90">
        <f t="shared" si="26"/>
        <v>49783.02</v>
      </c>
      <c r="H75" s="90">
        <f t="shared" si="26"/>
        <v>49783.02</v>
      </c>
      <c r="I75" s="488" t="s">
        <v>579</v>
      </c>
      <c r="J75" s="514">
        <v>45016</v>
      </c>
      <c r="K75" s="90">
        <f t="shared" si="27"/>
        <v>49783.02</v>
      </c>
      <c r="L75" s="90">
        <f t="shared" si="27"/>
        <v>49783.02</v>
      </c>
      <c r="M75" s="90">
        <v>49783.02</v>
      </c>
      <c r="N75" s="90">
        <v>28885.32</v>
      </c>
      <c r="O75" s="90">
        <v>28885.32</v>
      </c>
    </row>
    <row r="76" spans="1:15" ht="24">
      <c r="A76" s="90">
        <v>10</v>
      </c>
      <c r="B76" s="90" t="s">
        <v>253</v>
      </c>
      <c r="C76" s="90" t="s">
        <v>503</v>
      </c>
      <c r="D76" s="472">
        <v>264563.37</v>
      </c>
      <c r="E76" s="472">
        <v>264563.37</v>
      </c>
      <c r="F76" s="199">
        <v>1</v>
      </c>
      <c r="G76" s="472">
        <f t="shared" si="26"/>
        <v>264563.37</v>
      </c>
      <c r="H76" s="90">
        <f t="shared" si="26"/>
        <v>264563.37</v>
      </c>
      <c r="I76" s="488" t="s">
        <v>580</v>
      </c>
      <c r="J76" s="487">
        <v>44952</v>
      </c>
      <c r="K76" s="90">
        <f t="shared" si="27"/>
        <v>264563.37</v>
      </c>
      <c r="L76" s="90">
        <f t="shared" si="27"/>
        <v>264563.37</v>
      </c>
      <c r="M76" s="90">
        <v>264563.37</v>
      </c>
      <c r="N76" s="90">
        <v>264563.37</v>
      </c>
      <c r="O76" s="90">
        <v>264563.37</v>
      </c>
    </row>
    <row r="77" spans="1:15" ht="14.4">
      <c r="A77" s="90">
        <v>11</v>
      </c>
      <c r="B77" s="90" t="s">
        <v>253</v>
      </c>
      <c r="C77" s="90" t="s">
        <v>510</v>
      </c>
      <c r="D77" s="472">
        <v>30891.66</v>
      </c>
      <c r="E77" s="472">
        <v>30891.66</v>
      </c>
      <c r="F77" s="199">
        <v>1</v>
      </c>
      <c r="G77" s="497">
        <v>30891.66</v>
      </c>
      <c r="H77" s="497">
        <v>30891.66</v>
      </c>
      <c r="I77" s="488" t="s">
        <v>581</v>
      </c>
      <c r="J77" s="487">
        <v>45394</v>
      </c>
      <c r="K77" s="90">
        <v>30891.66</v>
      </c>
      <c r="L77" s="90">
        <v>30891.66</v>
      </c>
      <c r="M77" s="90">
        <v>30891.66</v>
      </c>
      <c r="N77" s="90">
        <v>30891.66</v>
      </c>
      <c r="O77" s="90">
        <v>30891.66</v>
      </c>
    </row>
    <row r="78" spans="1:15" ht="14.4">
      <c r="A78" s="90">
        <v>12</v>
      </c>
      <c r="B78" s="473" t="s">
        <v>254</v>
      </c>
      <c r="C78" s="474" t="s">
        <v>531</v>
      </c>
      <c r="D78" s="483">
        <v>59910.76</v>
      </c>
      <c r="E78" s="483">
        <v>59910.76</v>
      </c>
      <c r="F78" s="475">
        <v>1</v>
      </c>
      <c r="G78" s="483"/>
      <c r="H78" s="483"/>
      <c r="I78" s="511"/>
      <c r="J78" s="512"/>
      <c r="K78" s="483"/>
      <c r="L78" s="484"/>
      <c r="M78" s="384"/>
      <c r="N78" s="384"/>
      <c r="O78" s="476"/>
    </row>
    <row r="79" spans="1:15" ht="14.4">
      <c r="A79" s="90">
        <v>13</v>
      </c>
      <c r="B79" s="473" t="s">
        <v>254</v>
      </c>
      <c r="C79" s="90" t="s">
        <v>543</v>
      </c>
      <c r="D79" s="521">
        <v>93959.58</v>
      </c>
      <c r="E79" s="521">
        <f>D79</f>
        <v>93959.58</v>
      </c>
      <c r="F79" s="478">
        <v>1</v>
      </c>
      <c r="G79" s="521">
        <v>93959.58</v>
      </c>
      <c r="H79" s="521">
        <v>93959.58</v>
      </c>
      <c r="I79" s="488" t="s">
        <v>582</v>
      </c>
      <c r="J79" s="487">
        <v>45692</v>
      </c>
      <c r="K79" s="521">
        <v>93959.58</v>
      </c>
      <c r="L79" s="522">
        <f>K79</f>
        <v>93959.58</v>
      </c>
      <c r="M79" s="717">
        <v>92297.98</v>
      </c>
      <c r="N79" s="717">
        <v>92297.98</v>
      </c>
      <c r="O79" s="384">
        <v>0</v>
      </c>
    </row>
    <row r="80" spans="1:15" ht="14.4">
      <c r="A80" s="90">
        <v>14</v>
      </c>
      <c r="B80" s="473" t="s">
        <v>253</v>
      </c>
      <c r="C80" s="515" t="s">
        <v>542</v>
      </c>
      <c r="D80" s="516">
        <v>26410</v>
      </c>
      <c r="E80" s="516">
        <f>D80</f>
        <v>26410</v>
      </c>
      <c r="F80" s="517">
        <v>1</v>
      </c>
      <c r="G80" s="516">
        <v>26410</v>
      </c>
      <c r="H80" s="516">
        <v>26410</v>
      </c>
      <c r="I80" s="518" t="s">
        <v>583</v>
      </c>
      <c r="J80" s="487">
        <v>45698</v>
      </c>
      <c r="K80" s="516">
        <v>26410</v>
      </c>
      <c r="L80" s="519">
        <f t="shared" ref="L80" si="28">K80</f>
        <v>26410</v>
      </c>
      <c r="M80" s="717">
        <v>23480.400000000001</v>
      </c>
      <c r="N80" s="717">
        <v>23480.400000000001</v>
      </c>
      <c r="O80" s="520">
        <v>0</v>
      </c>
    </row>
    <row r="81" spans="1:15">
      <c r="A81" s="615" t="s">
        <v>73</v>
      </c>
      <c r="B81" s="616"/>
      <c r="C81" s="617"/>
      <c r="D81" s="386">
        <f>SUM(D83:D90)</f>
        <v>223356.15</v>
      </c>
      <c r="E81" s="386">
        <f t="shared" ref="E81:N81" si="29">SUM(E83:E90)</f>
        <v>223356.15</v>
      </c>
      <c r="F81" s="386">
        <v>0</v>
      </c>
      <c r="G81" s="386">
        <f t="shared" si="29"/>
        <v>207569.49</v>
      </c>
      <c r="H81" s="386">
        <f t="shared" si="29"/>
        <v>207569.49</v>
      </c>
      <c r="I81" s="509"/>
      <c r="J81" s="386"/>
      <c r="K81" s="386">
        <f t="shared" si="29"/>
        <v>207569.49</v>
      </c>
      <c r="L81" s="386">
        <f t="shared" si="29"/>
        <v>207569.49</v>
      </c>
      <c r="M81" s="386">
        <f t="shared" si="29"/>
        <v>207569.49</v>
      </c>
      <c r="N81" s="386">
        <f t="shared" si="29"/>
        <v>207329.49</v>
      </c>
      <c r="O81" s="386">
        <f>SUM(O83:O90)</f>
        <v>142287</v>
      </c>
    </row>
    <row r="82" spans="1:15">
      <c r="A82" s="481"/>
      <c r="B82" s="482"/>
      <c r="C82" s="399">
        <v>141800</v>
      </c>
      <c r="D82" s="386"/>
      <c r="E82" s="386"/>
      <c r="F82" s="390"/>
      <c r="G82" s="386"/>
      <c r="H82" s="386"/>
      <c r="I82" s="509"/>
      <c r="J82" s="386"/>
      <c r="K82" s="386"/>
      <c r="L82" s="386"/>
      <c r="M82" s="386"/>
      <c r="N82" s="386"/>
      <c r="O82" s="386"/>
    </row>
    <row r="83" spans="1:15" ht="24.6">
      <c r="A83" s="90">
        <v>1</v>
      </c>
      <c r="B83" s="224" t="s">
        <v>328</v>
      </c>
      <c r="C83" s="224" t="s">
        <v>303</v>
      </c>
      <c r="D83" s="374">
        <v>29298</v>
      </c>
      <c r="E83" s="374">
        <v>29298</v>
      </c>
      <c r="F83" s="199">
        <f t="shared" ref="F83:F90" si="30">E83/D83</f>
        <v>1</v>
      </c>
      <c r="G83" s="374">
        <v>29298</v>
      </c>
      <c r="H83" s="374">
        <v>29298</v>
      </c>
      <c r="I83" s="488" t="s">
        <v>589</v>
      </c>
      <c r="J83" s="501" t="s">
        <v>596</v>
      </c>
      <c r="K83" s="374">
        <v>29298</v>
      </c>
      <c r="L83" s="374">
        <v>29298</v>
      </c>
      <c r="M83" s="374">
        <v>29298</v>
      </c>
      <c r="N83" s="374">
        <v>29298</v>
      </c>
      <c r="O83" s="90">
        <v>29298</v>
      </c>
    </row>
    <row r="84" spans="1:15" ht="14.4">
      <c r="A84" s="90">
        <v>2</v>
      </c>
      <c r="B84" s="224" t="s">
        <v>329</v>
      </c>
      <c r="C84" s="224" t="s">
        <v>304</v>
      </c>
      <c r="D84" s="374">
        <v>26750</v>
      </c>
      <c r="E84" s="374">
        <v>26750</v>
      </c>
      <c r="F84" s="199">
        <f t="shared" si="30"/>
        <v>1</v>
      </c>
      <c r="G84" s="374">
        <v>26750</v>
      </c>
      <c r="H84" s="374">
        <v>26750</v>
      </c>
      <c r="I84" s="488" t="s">
        <v>590</v>
      </c>
      <c r="J84" s="501" t="s">
        <v>597</v>
      </c>
      <c r="K84" s="374">
        <v>26750</v>
      </c>
      <c r="L84" s="374">
        <v>26750</v>
      </c>
      <c r="M84" s="374">
        <v>26750</v>
      </c>
      <c r="N84" s="374">
        <v>26750</v>
      </c>
      <c r="O84" s="90">
        <v>26150</v>
      </c>
    </row>
    <row r="85" spans="1:15" ht="72">
      <c r="A85" s="72">
        <v>3</v>
      </c>
      <c r="B85" s="457" t="s">
        <v>253</v>
      </c>
      <c r="C85" s="457" t="s">
        <v>305</v>
      </c>
      <c r="D85" s="462">
        <v>29400</v>
      </c>
      <c r="E85" s="462">
        <v>29400</v>
      </c>
      <c r="F85" s="458">
        <f t="shared" si="30"/>
        <v>1</v>
      </c>
      <c r="G85" s="462">
        <v>29400</v>
      </c>
      <c r="H85" s="462">
        <v>29400</v>
      </c>
      <c r="I85" s="511" t="s">
        <v>591</v>
      </c>
      <c r="J85" s="716" t="s">
        <v>603</v>
      </c>
      <c r="K85" s="462">
        <v>29400</v>
      </c>
      <c r="L85" s="462">
        <v>29400</v>
      </c>
      <c r="M85" s="462">
        <v>29400</v>
      </c>
      <c r="N85" s="462">
        <v>29400</v>
      </c>
      <c r="O85" s="462">
        <v>0</v>
      </c>
    </row>
    <row r="86" spans="1:15" ht="14.4">
      <c r="A86" s="90">
        <v>4</v>
      </c>
      <c r="B86" s="224" t="s">
        <v>330</v>
      </c>
      <c r="C86" s="224" t="s">
        <v>306</v>
      </c>
      <c r="D86" s="477">
        <v>27140</v>
      </c>
      <c r="E86" s="477">
        <v>27140</v>
      </c>
      <c r="F86" s="478">
        <f t="shared" si="30"/>
        <v>1</v>
      </c>
      <c r="G86" s="477">
        <v>27140</v>
      </c>
      <c r="H86" s="477">
        <v>27140</v>
      </c>
      <c r="I86" s="488" t="s">
        <v>479</v>
      </c>
      <c r="J86" s="501" t="s">
        <v>598</v>
      </c>
      <c r="K86" s="477">
        <v>27140</v>
      </c>
      <c r="L86" s="477">
        <v>27140</v>
      </c>
      <c r="M86" s="477">
        <v>27140</v>
      </c>
      <c r="N86" s="477">
        <v>27140</v>
      </c>
      <c r="O86" s="472">
        <v>27094</v>
      </c>
    </row>
    <row r="87" spans="1:15" ht="72">
      <c r="A87" s="72">
        <v>5</v>
      </c>
      <c r="B87" s="457" t="s">
        <v>330</v>
      </c>
      <c r="C87" s="457" t="s">
        <v>307</v>
      </c>
      <c r="D87" s="462">
        <v>25621.49</v>
      </c>
      <c r="E87" s="462">
        <v>25621.49</v>
      </c>
      <c r="F87" s="458">
        <f t="shared" si="30"/>
        <v>1</v>
      </c>
      <c r="G87" s="462">
        <v>25621.49</v>
      </c>
      <c r="H87" s="462">
        <v>25621.49</v>
      </c>
      <c r="I87" s="511" t="s">
        <v>592</v>
      </c>
      <c r="J87" s="716" t="s">
        <v>606</v>
      </c>
      <c r="K87" s="462">
        <v>25621.49</v>
      </c>
      <c r="L87" s="462">
        <v>25621.49</v>
      </c>
      <c r="M87" s="462">
        <v>25621.49</v>
      </c>
      <c r="N87" s="462">
        <v>25621.49</v>
      </c>
      <c r="O87" s="460">
        <v>0</v>
      </c>
    </row>
    <row r="88" spans="1:15" ht="72">
      <c r="A88" s="72">
        <v>6</v>
      </c>
      <c r="B88" s="457" t="s">
        <v>253</v>
      </c>
      <c r="C88" s="457" t="s">
        <v>308</v>
      </c>
      <c r="D88" s="462">
        <v>25161.66</v>
      </c>
      <c r="E88" s="462">
        <v>25161.66</v>
      </c>
      <c r="F88" s="458">
        <f t="shared" si="30"/>
        <v>1</v>
      </c>
      <c r="G88" s="462">
        <v>9375</v>
      </c>
      <c r="H88" s="462">
        <v>9375</v>
      </c>
      <c r="I88" s="511" t="s">
        <v>593</v>
      </c>
      <c r="J88" s="716" t="s">
        <v>607</v>
      </c>
      <c r="K88" s="462">
        <v>9375</v>
      </c>
      <c r="L88" s="462">
        <v>9375</v>
      </c>
      <c r="M88" s="462">
        <v>9375</v>
      </c>
      <c r="N88" s="462">
        <v>9375</v>
      </c>
      <c r="O88" s="460">
        <v>0</v>
      </c>
    </row>
    <row r="89" spans="1:15" ht="14.4">
      <c r="A89" s="90">
        <v>7</v>
      </c>
      <c r="B89" s="224" t="s">
        <v>329</v>
      </c>
      <c r="C89" s="90" t="s">
        <v>511</v>
      </c>
      <c r="D89" s="90">
        <v>29985</v>
      </c>
      <c r="E89" s="90">
        <v>29985</v>
      </c>
      <c r="F89" s="199">
        <f t="shared" si="30"/>
        <v>1</v>
      </c>
      <c r="G89" s="90">
        <v>29985</v>
      </c>
      <c r="H89" s="90">
        <v>29985</v>
      </c>
      <c r="I89" s="488" t="s">
        <v>594</v>
      </c>
      <c r="J89" s="485">
        <v>45364</v>
      </c>
      <c r="K89" s="109">
        <v>29985</v>
      </c>
      <c r="L89" s="109">
        <v>29985</v>
      </c>
      <c r="M89" s="90">
        <v>29985</v>
      </c>
      <c r="N89" s="90">
        <v>29985</v>
      </c>
      <c r="O89" s="90">
        <v>29985</v>
      </c>
    </row>
    <row r="90" spans="1:15" ht="14.4">
      <c r="A90" s="90">
        <v>8</v>
      </c>
      <c r="B90" s="224" t="s">
        <v>253</v>
      </c>
      <c r="C90" s="90" t="s">
        <v>512</v>
      </c>
      <c r="D90" s="90">
        <v>30000</v>
      </c>
      <c r="E90" s="90">
        <v>30000</v>
      </c>
      <c r="F90" s="199">
        <f t="shared" si="30"/>
        <v>1</v>
      </c>
      <c r="G90" s="90">
        <v>30000</v>
      </c>
      <c r="H90" s="90">
        <v>30000</v>
      </c>
      <c r="I90" s="488" t="s">
        <v>595</v>
      </c>
      <c r="J90" s="485">
        <v>45272</v>
      </c>
      <c r="K90" s="90">
        <v>30000</v>
      </c>
      <c r="L90" s="90">
        <v>30000</v>
      </c>
      <c r="M90" s="90">
        <v>30000</v>
      </c>
      <c r="N90" s="90">
        <v>29760</v>
      </c>
      <c r="O90" s="90">
        <v>29760</v>
      </c>
    </row>
    <row r="91" spans="1:15" ht="12.6" thickBot="1">
      <c r="A91" s="363" t="s">
        <v>68</v>
      </c>
      <c r="B91" s="58"/>
      <c r="C91" s="58"/>
      <c r="D91" s="387">
        <f>D81+D65+D44+D37+D6</f>
        <v>7338881.3399999999</v>
      </c>
      <c r="E91" s="387">
        <f>E81+E65+E44+E37+E6</f>
        <v>5064601.5019999994</v>
      </c>
      <c r="F91" s="387"/>
      <c r="G91" s="387">
        <f>G81+G65+G44+G37+G6</f>
        <v>6783970.46</v>
      </c>
      <c r="H91" s="479">
        <f>H81+H65+H44+H37+H6</f>
        <v>4679440.1789999995</v>
      </c>
      <c r="I91" s="510"/>
      <c r="J91" s="387"/>
      <c r="K91" s="387">
        <f>K81+K65+K44+K37+K6</f>
        <v>6576312.1200000001</v>
      </c>
      <c r="L91" s="387">
        <f>L81+L65+L44+L37+L6</f>
        <v>4578573.01</v>
      </c>
      <c r="M91" s="387">
        <f>M81+M65+M44+M37+M6</f>
        <v>6482514.4399999995</v>
      </c>
      <c r="N91" s="387">
        <f>N81+N65+N44+N37+N6</f>
        <v>4448186.392</v>
      </c>
      <c r="O91" s="387">
        <f>O81+O65+O44+O37+O6</f>
        <v>3392056.7170000002</v>
      </c>
    </row>
    <row r="92" spans="1:15" s="234" customFormat="1">
      <c r="A92" s="451">
        <f>A90+A79+A64+A43+A36</f>
        <v>73</v>
      </c>
      <c r="B92" s="450"/>
      <c r="C92" s="450"/>
      <c r="D92" s="450"/>
      <c r="E92" s="450"/>
      <c r="F92" s="450"/>
      <c r="G92" s="450"/>
      <c r="H92" s="450"/>
      <c r="I92" s="450"/>
      <c r="J92" s="450"/>
      <c r="K92" s="450"/>
      <c r="L92" s="450"/>
      <c r="M92" s="450"/>
      <c r="N92" s="450"/>
    </row>
    <row r="93" spans="1:15" s="234" customFormat="1">
      <c r="D93" s="393"/>
    </row>
    <row r="94" spans="1:15">
      <c r="N94" s="146"/>
    </row>
  </sheetData>
  <mergeCells count="21">
    <mergeCell ref="A5:B5"/>
    <mergeCell ref="M2:M3"/>
    <mergeCell ref="O2:O3"/>
    <mergeCell ref="A1:O1"/>
    <mergeCell ref="G2:G3"/>
    <mergeCell ref="H2:H3"/>
    <mergeCell ref="I2:I3"/>
    <mergeCell ref="J2:J3"/>
    <mergeCell ref="K2:K3"/>
    <mergeCell ref="L2:L3"/>
    <mergeCell ref="A2:A3"/>
    <mergeCell ref="B2:B3"/>
    <mergeCell ref="C2:C3"/>
    <mergeCell ref="D2:D3"/>
    <mergeCell ref="E2:E3"/>
    <mergeCell ref="F2:F3"/>
    <mergeCell ref="A44:C44"/>
    <mergeCell ref="A6:C6"/>
    <mergeCell ref="A37:C37"/>
    <mergeCell ref="A65:C65"/>
    <mergeCell ref="A81:C81"/>
  </mergeCells>
  <pageMargins left="0.31496062992125984" right="0.31496062992125984" top="0.74803149606299213" bottom="0.35433070866141736" header="0.31496062992125984" footer="0.31496062992125984"/>
  <pageSetup paperSize="9" scale="52" orientation="landscape" r:id="rId1"/>
  <rowBreaks count="2" manualBreakCount="2">
    <brk id="66" max="16" man="1"/>
    <brk id="91" max="14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workbookViewId="0">
      <selection activeCell="K8" sqref="K8"/>
    </sheetView>
  </sheetViews>
  <sheetFormatPr defaultColWidth="9.109375" defaultRowHeight="12"/>
  <cols>
    <col min="1" max="1" width="13.6640625" style="65" customWidth="1"/>
    <col min="2" max="2" width="28.33203125" style="65" customWidth="1"/>
    <col min="3" max="3" width="33" style="65" customWidth="1"/>
    <col min="4" max="4" width="13" style="65" customWidth="1"/>
    <col min="5" max="5" width="11.5546875" style="65" customWidth="1"/>
    <col min="6" max="6" width="9.109375" style="65" customWidth="1"/>
    <col min="7" max="7" width="12.5546875" style="65" customWidth="1"/>
    <col min="8" max="8" width="13.5546875" style="65" customWidth="1"/>
    <col min="9" max="9" width="12.33203125" style="65" customWidth="1"/>
    <col min="10" max="10" width="15.6640625" style="65" customWidth="1"/>
    <col min="11" max="11" width="13.33203125" style="65" customWidth="1"/>
    <col min="12" max="12" width="12.44140625" style="65" customWidth="1"/>
    <col min="13" max="13" width="12.109375" style="65" customWidth="1"/>
    <col min="14" max="15" width="11.33203125" style="65" customWidth="1"/>
    <col min="16" max="16" width="9.5546875" style="65" hidden="1" customWidth="1"/>
    <col min="17" max="16384" width="9.109375" style="65"/>
  </cols>
  <sheetData>
    <row r="1" spans="1:19" ht="55.5" customHeight="1" thickBot="1">
      <c r="A1" s="630" t="s">
        <v>491</v>
      </c>
      <c r="B1" s="630"/>
      <c r="C1" s="630"/>
      <c r="D1" s="630"/>
      <c r="E1" s="630"/>
      <c r="F1" s="630"/>
      <c r="G1" s="630"/>
      <c r="H1" s="630"/>
      <c r="I1" s="630"/>
      <c r="J1" s="630"/>
      <c r="K1" s="630"/>
      <c r="L1" s="630"/>
      <c r="M1" s="630"/>
      <c r="N1" s="630"/>
      <c r="O1" s="630"/>
    </row>
    <row r="2" spans="1:19" ht="55.5" customHeight="1">
      <c r="A2" s="620" t="s">
        <v>43</v>
      </c>
      <c r="B2" s="620" t="s">
        <v>226</v>
      </c>
      <c r="C2" s="620" t="s">
        <v>227</v>
      </c>
      <c r="D2" s="620" t="s">
        <v>224</v>
      </c>
      <c r="E2" s="620" t="s">
        <v>331</v>
      </c>
      <c r="F2" s="620" t="s">
        <v>228</v>
      </c>
      <c r="G2" s="620" t="s">
        <v>77</v>
      </c>
      <c r="H2" s="620" t="s">
        <v>78</v>
      </c>
      <c r="I2" s="625" t="s">
        <v>229</v>
      </c>
      <c r="J2" s="625" t="s">
        <v>230</v>
      </c>
      <c r="K2" s="620" t="s">
        <v>79</v>
      </c>
      <c r="L2" s="620" t="s">
        <v>80</v>
      </c>
      <c r="M2" s="620" t="s">
        <v>231</v>
      </c>
      <c r="N2" s="362" t="s">
        <v>232</v>
      </c>
      <c r="O2" s="620" t="s">
        <v>83</v>
      </c>
    </row>
    <row r="3" spans="1:19" ht="55.5" customHeight="1" thickBot="1">
      <c r="A3" s="621"/>
      <c r="B3" s="621"/>
      <c r="C3" s="621"/>
      <c r="D3" s="621"/>
      <c r="E3" s="621"/>
      <c r="F3" s="621"/>
      <c r="G3" s="621"/>
      <c r="H3" s="621"/>
      <c r="I3" s="626"/>
      <c r="J3" s="626"/>
      <c r="K3" s="621"/>
      <c r="L3" s="621"/>
      <c r="M3" s="621"/>
      <c r="N3" s="364" t="s">
        <v>233</v>
      </c>
      <c r="O3" s="621"/>
    </row>
    <row r="4" spans="1:19" ht="20.25" customHeight="1">
      <c r="A4" s="365">
        <v>1</v>
      </c>
      <c r="B4" s="366">
        <v>2</v>
      </c>
      <c r="C4" s="366">
        <v>3</v>
      </c>
      <c r="D4" s="366">
        <v>4</v>
      </c>
      <c r="E4" s="366">
        <v>5</v>
      </c>
      <c r="F4" s="366">
        <v>6</v>
      </c>
      <c r="G4" s="366">
        <v>7</v>
      </c>
      <c r="H4" s="366">
        <v>8</v>
      </c>
      <c r="I4" s="367">
        <v>9</v>
      </c>
      <c r="J4" s="367">
        <v>10</v>
      </c>
      <c r="K4" s="366">
        <v>11</v>
      </c>
      <c r="L4" s="366">
        <v>12</v>
      </c>
      <c r="M4" s="366">
        <v>13</v>
      </c>
      <c r="N4" s="366">
        <v>14</v>
      </c>
      <c r="O4" s="366">
        <v>15</v>
      </c>
    </row>
    <row r="5" spans="1:19" ht="30.75" customHeight="1" thickBot="1">
      <c r="A5" s="627" t="s">
        <v>59</v>
      </c>
      <c r="B5" s="628"/>
      <c r="C5" s="629"/>
      <c r="D5" s="368"/>
      <c r="E5" s="368"/>
      <c r="F5" s="368"/>
      <c r="G5" s="368"/>
      <c r="H5" s="368"/>
      <c r="I5" s="368"/>
      <c r="J5" s="368"/>
      <c r="K5" s="368"/>
      <c r="L5" s="368"/>
      <c r="M5" s="368"/>
      <c r="N5" s="368"/>
      <c r="O5" s="368"/>
    </row>
    <row r="6" spans="1:19" ht="33.75" customHeight="1" thickBot="1">
      <c r="A6" s="612" t="s">
        <v>69</v>
      </c>
      <c r="B6" s="613"/>
      <c r="C6" s="614"/>
      <c r="D6" s="369">
        <f>SUM(D7:D32)</f>
        <v>1870186.68</v>
      </c>
      <c r="E6" s="370">
        <f>SUM(E7:E32)</f>
        <v>910108.27999999991</v>
      </c>
      <c r="F6" s="233">
        <f>E6/D6</f>
        <v>0.48664033902754561</v>
      </c>
      <c r="G6" s="369">
        <f>SUM(G7:G32)</f>
        <v>1870186.68</v>
      </c>
      <c r="H6" s="370">
        <f>SUM(H7:H32)</f>
        <v>910108.27999999991</v>
      </c>
      <c r="I6" s="369"/>
      <c r="J6" s="369"/>
      <c r="K6" s="370">
        <f t="shared" ref="K6:O6" si="0">SUM(K7:K32)</f>
        <v>1870186.68</v>
      </c>
      <c r="L6" s="370">
        <f t="shared" si="0"/>
        <v>910108.27999999991</v>
      </c>
      <c r="M6" s="370">
        <f t="shared" si="0"/>
        <v>1433853.3</v>
      </c>
      <c r="N6" s="370">
        <f t="shared" si="0"/>
        <v>686822.81</v>
      </c>
      <c r="O6" s="370">
        <f t="shared" si="0"/>
        <v>417704.51999999996</v>
      </c>
      <c r="S6" s="173"/>
    </row>
    <row r="7" spans="1:19" s="225" customFormat="1" ht="65.25" customHeight="1">
      <c r="A7" s="371"/>
      <c r="B7" s="229"/>
      <c r="C7" s="229"/>
      <c r="D7" s="230"/>
      <c r="E7" s="230"/>
      <c r="F7" s="230"/>
      <c r="G7" s="230"/>
      <c r="H7" s="230"/>
      <c r="I7" s="230"/>
      <c r="J7" s="229"/>
      <c r="K7" s="230"/>
      <c r="L7" s="230"/>
      <c r="M7" s="231"/>
      <c r="N7" s="230"/>
      <c r="O7" s="232"/>
    </row>
    <row r="8" spans="1:19" s="225" customFormat="1" ht="69" customHeight="1">
      <c r="A8" s="372">
        <v>1</v>
      </c>
      <c r="B8" s="224" t="s">
        <v>281</v>
      </c>
      <c r="C8" s="90" t="s">
        <v>235</v>
      </c>
      <c r="D8" s="90">
        <v>101810</v>
      </c>
      <c r="E8" s="90">
        <v>50905</v>
      </c>
      <c r="F8" s="199">
        <f>E8/D8</f>
        <v>0.5</v>
      </c>
      <c r="G8" s="90">
        <v>101810</v>
      </c>
      <c r="H8" s="90">
        <v>50905</v>
      </c>
      <c r="I8" s="90" t="s">
        <v>249</v>
      </c>
      <c r="J8" s="229" t="s">
        <v>492</v>
      </c>
      <c r="K8" s="90">
        <v>101810</v>
      </c>
      <c r="L8" s="90">
        <v>50905</v>
      </c>
      <c r="M8" s="90">
        <v>101810</v>
      </c>
      <c r="N8" s="90">
        <v>50905</v>
      </c>
      <c r="O8" s="73">
        <v>0</v>
      </c>
      <c r="P8" s="90" t="s">
        <v>332</v>
      </c>
    </row>
    <row r="9" spans="1:19" s="225" customFormat="1" ht="63.6" customHeight="1">
      <c r="A9" s="372">
        <v>2</v>
      </c>
      <c r="B9" s="224" t="s">
        <v>312</v>
      </c>
      <c r="C9" s="90" t="s">
        <v>236</v>
      </c>
      <c r="D9" s="90">
        <v>155307.22999999998</v>
      </c>
      <c r="E9" s="90">
        <v>77653.62</v>
      </c>
      <c r="F9" s="199">
        <f>E9/D9</f>
        <v>0.50000003219425138</v>
      </c>
      <c r="G9" s="90">
        <v>155307.22999999998</v>
      </c>
      <c r="H9" s="90">
        <v>77653.62</v>
      </c>
      <c r="I9" s="90" t="s">
        <v>249</v>
      </c>
      <c r="J9" s="229" t="s">
        <v>492</v>
      </c>
      <c r="K9" s="90">
        <v>155307.22999999998</v>
      </c>
      <c r="L9" s="90">
        <v>77653.62</v>
      </c>
      <c r="M9" s="90">
        <v>155307.22999999998</v>
      </c>
      <c r="N9" s="90">
        <v>77653.62</v>
      </c>
      <c r="O9" s="73">
        <v>0</v>
      </c>
      <c r="P9" s="90" t="s">
        <v>332</v>
      </c>
    </row>
    <row r="10" spans="1:19" s="225" customFormat="1" ht="55.5" customHeight="1">
      <c r="A10" s="372">
        <v>3</v>
      </c>
      <c r="B10" s="224" t="s">
        <v>313</v>
      </c>
      <c r="C10" s="90" t="s">
        <v>237</v>
      </c>
      <c r="D10" s="90">
        <v>65834.539999999994</v>
      </c>
      <c r="E10" s="90">
        <v>32917.269999999997</v>
      </c>
      <c r="F10" s="199">
        <f t="shared" ref="F10:F33" si="1">E10/D10</f>
        <v>0.5</v>
      </c>
      <c r="G10" s="90">
        <v>65834.539999999994</v>
      </c>
      <c r="H10" s="90">
        <v>32917.269999999997</v>
      </c>
      <c r="I10" s="90" t="s">
        <v>249</v>
      </c>
      <c r="J10" s="229" t="s">
        <v>249</v>
      </c>
      <c r="K10" s="90">
        <f t="shared" ref="K10:L25" si="2">G10</f>
        <v>65834.539999999994</v>
      </c>
      <c r="L10" s="90">
        <f t="shared" si="2"/>
        <v>32917.269999999997</v>
      </c>
      <c r="M10" s="90">
        <v>48905.81</v>
      </c>
      <c r="N10" s="90">
        <v>24452.9</v>
      </c>
      <c r="O10" s="73">
        <v>2200</v>
      </c>
      <c r="Q10" s="225">
        <v>21</v>
      </c>
      <c r="R10" s="225">
        <f>O10+O13+O14+O15+O17+O18+O19+O20+O21+O24</f>
        <v>417704.51999999996</v>
      </c>
    </row>
    <row r="11" spans="1:19" s="225" customFormat="1" ht="55.5" customHeight="1">
      <c r="A11" s="372"/>
      <c r="B11" s="224"/>
      <c r="C11" s="90"/>
      <c r="D11" s="90"/>
      <c r="E11" s="90"/>
      <c r="F11" s="199"/>
      <c r="G11" s="90"/>
      <c r="H11" s="90"/>
      <c r="I11" s="90"/>
      <c r="J11" s="229"/>
      <c r="K11" s="90"/>
      <c r="L11" s="90"/>
      <c r="M11" s="90"/>
      <c r="N11" s="90"/>
      <c r="O11" s="73"/>
    </row>
    <row r="12" spans="1:19" s="225" customFormat="1" ht="55.5" customHeight="1">
      <c r="A12" s="372">
        <v>5</v>
      </c>
      <c r="B12" s="224" t="s">
        <v>314</v>
      </c>
      <c r="C12" s="90" t="s">
        <v>239</v>
      </c>
      <c r="D12" s="90">
        <v>105960</v>
      </c>
      <c r="E12" s="90">
        <v>42384</v>
      </c>
      <c r="F12" s="199">
        <f t="shared" si="1"/>
        <v>0.4</v>
      </c>
      <c r="G12" s="90">
        <v>105960</v>
      </c>
      <c r="H12" s="90">
        <v>42384</v>
      </c>
      <c r="I12" s="90" t="s">
        <v>249</v>
      </c>
      <c r="J12" s="229" t="s">
        <v>492</v>
      </c>
      <c r="K12" s="90">
        <v>105960</v>
      </c>
      <c r="L12" s="90">
        <v>42384</v>
      </c>
      <c r="M12" s="225">
        <v>105960</v>
      </c>
      <c r="N12" s="382">
        <v>42384</v>
      </c>
      <c r="O12" s="73">
        <v>0</v>
      </c>
      <c r="P12" s="90" t="s">
        <v>332</v>
      </c>
    </row>
    <row r="13" spans="1:19" s="225" customFormat="1" ht="55.5" customHeight="1">
      <c r="A13" s="372">
        <v>6</v>
      </c>
      <c r="B13" s="224" t="s">
        <v>315</v>
      </c>
      <c r="C13" s="90" t="s">
        <v>240</v>
      </c>
      <c r="D13" s="90">
        <v>33400</v>
      </c>
      <c r="E13" s="90">
        <v>16700</v>
      </c>
      <c r="F13" s="199">
        <f t="shared" si="1"/>
        <v>0.5</v>
      </c>
      <c r="G13" s="90">
        <v>33400</v>
      </c>
      <c r="H13" s="90">
        <v>16700</v>
      </c>
      <c r="I13" s="90" t="s">
        <v>249</v>
      </c>
      <c r="J13" s="90" t="s">
        <v>249</v>
      </c>
      <c r="K13" s="90">
        <f t="shared" si="2"/>
        <v>33400</v>
      </c>
      <c r="L13" s="90">
        <f t="shared" si="2"/>
        <v>16700</v>
      </c>
      <c r="M13" s="90">
        <v>27846.14</v>
      </c>
      <c r="N13" s="382">
        <v>12500</v>
      </c>
      <c r="O13" s="392">
        <v>12500</v>
      </c>
    </row>
    <row r="14" spans="1:19" s="225" customFormat="1" ht="55.5" customHeight="1">
      <c r="A14" s="372">
        <v>7</v>
      </c>
      <c r="B14" s="224" t="s">
        <v>316</v>
      </c>
      <c r="C14" s="90" t="s">
        <v>241</v>
      </c>
      <c r="D14" s="90">
        <v>81000</v>
      </c>
      <c r="E14" s="90">
        <v>40500</v>
      </c>
      <c r="F14" s="199">
        <f t="shared" si="1"/>
        <v>0.5</v>
      </c>
      <c r="G14" s="90">
        <v>81000</v>
      </c>
      <c r="H14" s="90">
        <v>40500</v>
      </c>
      <c r="I14" s="90" t="s">
        <v>249</v>
      </c>
      <c r="J14" s="90" t="s">
        <v>249</v>
      </c>
      <c r="K14" s="90">
        <f t="shared" si="2"/>
        <v>81000</v>
      </c>
      <c r="L14" s="90">
        <f t="shared" si="2"/>
        <v>40500</v>
      </c>
      <c r="M14" s="90">
        <v>81000</v>
      </c>
      <c r="N14" s="90">
        <v>40500</v>
      </c>
      <c r="O14" s="73">
        <v>40500</v>
      </c>
      <c r="Q14" s="225">
        <v>21</v>
      </c>
    </row>
    <row r="15" spans="1:19" s="225" customFormat="1" ht="55.5" customHeight="1">
      <c r="A15" s="372">
        <v>8</v>
      </c>
      <c r="B15" s="224" t="s">
        <v>317</v>
      </c>
      <c r="C15" s="90" t="s">
        <v>242</v>
      </c>
      <c r="D15" s="90">
        <v>46308.7</v>
      </c>
      <c r="E15" s="90">
        <v>23154.35</v>
      </c>
      <c r="F15" s="199">
        <f t="shared" si="1"/>
        <v>0.5</v>
      </c>
      <c r="G15" s="90">
        <v>46308.7</v>
      </c>
      <c r="H15" s="90">
        <v>23154.35</v>
      </c>
      <c r="I15" s="90" t="s">
        <v>249</v>
      </c>
      <c r="J15" s="90" t="s">
        <v>249</v>
      </c>
      <c r="K15" s="90">
        <f t="shared" si="2"/>
        <v>46308.7</v>
      </c>
      <c r="L15" s="90">
        <f t="shared" si="2"/>
        <v>23154.35</v>
      </c>
      <c r="M15" s="90">
        <v>37395.47</v>
      </c>
      <c r="N15" s="90">
        <v>18697.73</v>
      </c>
      <c r="O15" s="73">
        <v>18697.73</v>
      </c>
      <c r="Q15" s="225">
        <v>21</v>
      </c>
    </row>
    <row r="16" spans="1:19" s="225" customFormat="1" ht="55.5" customHeight="1">
      <c r="A16" s="372"/>
      <c r="B16" s="224" t="s">
        <v>282</v>
      </c>
      <c r="C16" s="224" t="s">
        <v>243</v>
      </c>
      <c r="D16" s="90"/>
      <c r="E16" s="224"/>
      <c r="F16" s="224"/>
      <c r="G16" s="224"/>
      <c r="H16" s="224"/>
      <c r="I16" s="224" t="s">
        <v>310</v>
      </c>
      <c r="J16" s="224" t="s">
        <v>311</v>
      </c>
      <c r="K16" s="224"/>
      <c r="L16" s="90"/>
      <c r="M16" s="90"/>
      <c r="N16" s="90"/>
      <c r="O16" s="73"/>
    </row>
    <row r="17" spans="1:17" s="225" customFormat="1" ht="55.5" customHeight="1">
      <c r="A17" s="372">
        <v>9</v>
      </c>
      <c r="B17" s="224" t="s">
        <v>282</v>
      </c>
      <c r="C17" s="90" t="s">
        <v>243</v>
      </c>
      <c r="D17" s="90">
        <v>159900</v>
      </c>
      <c r="E17" s="90">
        <v>79950</v>
      </c>
      <c r="F17" s="199">
        <f t="shared" si="1"/>
        <v>0.5</v>
      </c>
      <c r="G17" s="90">
        <v>159900</v>
      </c>
      <c r="H17" s="90">
        <v>79950</v>
      </c>
      <c r="I17" s="90" t="s">
        <v>249</v>
      </c>
      <c r="J17" s="90" t="s">
        <v>249</v>
      </c>
      <c r="K17" s="90">
        <f t="shared" si="2"/>
        <v>159900</v>
      </c>
      <c r="L17" s="90">
        <f t="shared" si="2"/>
        <v>79950</v>
      </c>
      <c r="M17" s="90">
        <v>159900</v>
      </c>
      <c r="N17" s="90">
        <v>79950</v>
      </c>
      <c r="O17" s="73">
        <v>79950</v>
      </c>
      <c r="Q17" s="225">
        <v>21</v>
      </c>
    </row>
    <row r="18" spans="1:17" s="225" customFormat="1" ht="55.5" customHeight="1">
      <c r="A18" s="372">
        <v>10</v>
      </c>
      <c r="B18" s="224" t="s">
        <v>283</v>
      </c>
      <c r="C18" s="90" t="s">
        <v>244</v>
      </c>
      <c r="D18" s="90">
        <v>129078</v>
      </c>
      <c r="E18" s="90">
        <v>64539</v>
      </c>
      <c r="F18" s="199">
        <f t="shared" si="1"/>
        <v>0.5</v>
      </c>
      <c r="G18" s="90">
        <v>129078</v>
      </c>
      <c r="H18" s="90">
        <v>64539</v>
      </c>
      <c r="I18" s="90" t="s">
        <v>249</v>
      </c>
      <c r="J18" s="90" t="s">
        <v>249</v>
      </c>
      <c r="K18" s="90">
        <f t="shared" si="2"/>
        <v>129078</v>
      </c>
      <c r="L18" s="90">
        <f t="shared" si="2"/>
        <v>64539</v>
      </c>
      <c r="M18" s="90">
        <v>125664.61</v>
      </c>
      <c r="N18" s="90">
        <v>62832.3</v>
      </c>
      <c r="O18" s="73">
        <v>62832.3</v>
      </c>
      <c r="Q18" s="225">
        <v>21</v>
      </c>
    </row>
    <row r="19" spans="1:17" s="225" customFormat="1" ht="55.5" customHeight="1">
      <c r="A19" s="372">
        <v>11</v>
      </c>
      <c r="B19" s="224" t="s">
        <v>284</v>
      </c>
      <c r="C19" s="90" t="s">
        <v>245</v>
      </c>
      <c r="D19" s="90">
        <v>81000</v>
      </c>
      <c r="E19" s="90">
        <v>27356.94</v>
      </c>
      <c r="F19" s="199">
        <f t="shared" si="1"/>
        <v>0.33773999999999998</v>
      </c>
      <c r="G19" s="90">
        <v>81000</v>
      </c>
      <c r="H19" s="90">
        <v>27356.94</v>
      </c>
      <c r="I19" s="90" t="s">
        <v>249</v>
      </c>
      <c r="J19" s="90" t="s">
        <v>249</v>
      </c>
      <c r="K19" s="90">
        <v>81000</v>
      </c>
      <c r="L19" s="90">
        <f t="shared" si="2"/>
        <v>27356.94</v>
      </c>
      <c r="M19" s="90">
        <v>81000</v>
      </c>
      <c r="N19" s="90">
        <v>27356.94</v>
      </c>
      <c r="O19" s="73">
        <v>27356.94</v>
      </c>
      <c r="Q19" s="225">
        <v>21</v>
      </c>
    </row>
    <row r="20" spans="1:17" s="225" customFormat="1" ht="55.5" customHeight="1">
      <c r="A20" s="372">
        <v>12</v>
      </c>
      <c r="B20" s="224" t="s">
        <v>318</v>
      </c>
      <c r="C20" s="90" t="s">
        <v>244</v>
      </c>
      <c r="D20" s="90">
        <v>77618.5</v>
      </c>
      <c r="E20" s="90">
        <v>38809.25</v>
      </c>
      <c r="F20" s="199">
        <f t="shared" si="1"/>
        <v>0.5</v>
      </c>
      <c r="G20" s="90">
        <v>77618.5</v>
      </c>
      <c r="H20" s="90">
        <v>38809.25</v>
      </c>
      <c r="I20" s="90" t="s">
        <v>249</v>
      </c>
      <c r="J20" s="90" t="s">
        <v>249</v>
      </c>
      <c r="K20" s="90">
        <v>77618.5</v>
      </c>
      <c r="L20" s="90">
        <f t="shared" si="2"/>
        <v>38809.25</v>
      </c>
      <c r="M20" s="90">
        <v>77618.5</v>
      </c>
      <c r="N20" s="90">
        <v>38809.25</v>
      </c>
      <c r="O20" s="73">
        <v>38809.25</v>
      </c>
      <c r="Q20" s="225">
        <v>21</v>
      </c>
    </row>
    <row r="21" spans="1:17" s="225" customFormat="1" ht="55.5" customHeight="1">
      <c r="A21" s="372">
        <v>13</v>
      </c>
      <c r="B21" s="224" t="s">
        <v>285</v>
      </c>
      <c r="C21" s="90" t="s">
        <v>246</v>
      </c>
      <c r="D21" s="90">
        <v>114130</v>
      </c>
      <c r="E21" s="90">
        <v>57065</v>
      </c>
      <c r="F21" s="199">
        <f t="shared" si="1"/>
        <v>0.5</v>
      </c>
      <c r="G21" s="90">
        <v>114130</v>
      </c>
      <c r="H21" s="90">
        <v>57065</v>
      </c>
      <c r="I21" s="90" t="s">
        <v>249</v>
      </c>
      <c r="J21" s="90" t="s">
        <v>249</v>
      </c>
      <c r="K21" s="90">
        <f t="shared" si="2"/>
        <v>114130</v>
      </c>
      <c r="L21" s="90">
        <f t="shared" si="2"/>
        <v>57065</v>
      </c>
      <c r="M21" s="90">
        <v>114130</v>
      </c>
      <c r="N21" s="90">
        <v>55358.3</v>
      </c>
      <c r="O21" s="392">
        <v>55358.3</v>
      </c>
    </row>
    <row r="22" spans="1:17" s="225" customFormat="1" ht="55.5" customHeight="1">
      <c r="A22" s="372"/>
      <c r="B22" s="224"/>
      <c r="C22" s="90"/>
      <c r="D22" s="90"/>
      <c r="E22" s="90"/>
      <c r="F22" s="199"/>
      <c r="G22" s="90"/>
      <c r="H22" s="90"/>
      <c r="I22" s="90"/>
      <c r="J22" s="90"/>
      <c r="K22" s="90"/>
      <c r="L22" s="90"/>
      <c r="M22" s="90"/>
      <c r="N22" s="90"/>
      <c r="O22" s="73"/>
    </row>
    <row r="23" spans="1:17" s="225" customFormat="1" ht="55.5" customHeight="1">
      <c r="A23" s="372"/>
      <c r="B23" s="90"/>
      <c r="C23" s="90"/>
      <c r="D23" s="90"/>
      <c r="E23" s="90"/>
      <c r="F23" s="199"/>
      <c r="G23" s="90"/>
      <c r="H23" s="90"/>
      <c r="I23" s="90"/>
      <c r="J23" s="90"/>
      <c r="K23" s="90"/>
      <c r="L23" s="90"/>
      <c r="M23" s="90"/>
      <c r="N23" s="90"/>
      <c r="O23" s="392"/>
    </row>
    <row r="24" spans="1:17" s="225" customFormat="1" ht="55.5" customHeight="1">
      <c r="A24" s="372">
        <v>16</v>
      </c>
      <c r="B24" s="90" t="s">
        <v>288</v>
      </c>
      <c r="C24" s="90" t="s">
        <v>287</v>
      </c>
      <c r="D24" s="90">
        <v>159000</v>
      </c>
      <c r="E24" s="90">
        <v>79500</v>
      </c>
      <c r="F24" s="199">
        <f t="shared" si="1"/>
        <v>0.5</v>
      </c>
      <c r="G24" s="90">
        <v>159000</v>
      </c>
      <c r="H24" s="90">
        <v>79500</v>
      </c>
      <c r="I24" s="90" t="s">
        <v>249</v>
      </c>
      <c r="J24" s="90" t="s">
        <v>249</v>
      </c>
      <c r="K24" s="90">
        <v>159000</v>
      </c>
      <c r="L24" s="90">
        <f t="shared" si="2"/>
        <v>79500</v>
      </c>
      <c r="M24" s="90">
        <v>159000</v>
      </c>
      <c r="N24" s="90">
        <v>79500</v>
      </c>
      <c r="O24" s="392">
        <v>79500</v>
      </c>
    </row>
    <row r="25" spans="1:17" s="225" customFormat="1" ht="55.5" customHeight="1">
      <c r="A25" s="372">
        <v>17</v>
      </c>
      <c r="B25" s="90" t="s">
        <v>321</v>
      </c>
      <c r="C25" s="90" t="s">
        <v>289</v>
      </c>
      <c r="D25" s="90">
        <v>158315.54</v>
      </c>
      <c r="E25" s="90">
        <v>79157.77</v>
      </c>
      <c r="F25" s="199">
        <f t="shared" si="1"/>
        <v>0.5</v>
      </c>
      <c r="G25" s="90">
        <v>158315.54</v>
      </c>
      <c r="H25" s="90">
        <v>79157.77</v>
      </c>
      <c r="I25" s="90" t="s">
        <v>249</v>
      </c>
      <c r="J25" s="90" t="s">
        <v>249</v>
      </c>
      <c r="K25" s="90">
        <v>158315.54</v>
      </c>
      <c r="L25" s="90">
        <f t="shared" si="2"/>
        <v>79157.77</v>
      </c>
      <c r="M25" s="90">
        <v>158315.54</v>
      </c>
      <c r="N25" s="90">
        <v>75922.77</v>
      </c>
      <c r="O25" s="73">
        <v>0</v>
      </c>
    </row>
    <row r="26" spans="1:17" ht="55.5" customHeight="1" thickBot="1">
      <c r="A26" s="373"/>
      <c r="B26" s="90"/>
      <c r="C26" s="90"/>
      <c r="D26" s="226"/>
      <c r="E26" s="226"/>
      <c r="F26" s="227"/>
      <c r="G26" s="226"/>
      <c r="H26" s="226"/>
      <c r="I26" s="90"/>
      <c r="J26" s="90"/>
      <c r="K26" s="226"/>
      <c r="L26" s="226"/>
      <c r="M26" s="226"/>
      <c r="N26" s="226"/>
      <c r="O26" s="228"/>
    </row>
    <row r="27" spans="1:17" ht="55.5" customHeight="1" thickBot="1">
      <c r="A27" s="372">
        <v>19</v>
      </c>
      <c r="B27" s="90" t="s">
        <v>481</v>
      </c>
      <c r="C27" s="90" t="s">
        <v>482</v>
      </c>
      <c r="D27" s="368">
        <v>57025.5</v>
      </c>
      <c r="E27" s="374">
        <v>28512.75</v>
      </c>
      <c r="F27" s="375">
        <f t="shared" si="1"/>
        <v>0.5</v>
      </c>
      <c r="G27" s="376">
        <f t="shared" ref="G27:H28" si="3">D27</f>
        <v>57025.5</v>
      </c>
      <c r="H27" s="376">
        <f t="shared" si="3"/>
        <v>28512.75</v>
      </c>
      <c r="I27" s="90" t="s">
        <v>249</v>
      </c>
      <c r="J27" s="90" t="s">
        <v>249</v>
      </c>
      <c r="K27" s="376">
        <v>57025.5</v>
      </c>
      <c r="L27" s="376">
        <v>28512.75</v>
      </c>
      <c r="M27" s="376"/>
      <c r="N27" s="376"/>
      <c r="O27" s="360"/>
    </row>
    <row r="28" spans="1:17" ht="70.95" customHeight="1" thickBot="1">
      <c r="A28" s="373">
        <v>20</v>
      </c>
      <c r="B28" s="90" t="s">
        <v>486</v>
      </c>
      <c r="C28" s="90" t="s">
        <v>480</v>
      </c>
      <c r="D28" s="376">
        <v>47694</v>
      </c>
      <c r="E28" s="90">
        <v>19077.599999999999</v>
      </c>
      <c r="F28" s="375">
        <f t="shared" si="1"/>
        <v>0.39999999999999997</v>
      </c>
      <c r="G28" s="376">
        <f t="shared" si="3"/>
        <v>47694</v>
      </c>
      <c r="H28" s="376">
        <f t="shared" si="3"/>
        <v>19077.599999999999</v>
      </c>
      <c r="I28" s="90" t="s">
        <v>249</v>
      </c>
      <c r="J28" s="90" t="s">
        <v>249</v>
      </c>
      <c r="K28" s="376">
        <v>47694</v>
      </c>
      <c r="L28" s="376">
        <v>19077.599999999999</v>
      </c>
      <c r="M28" s="376"/>
      <c r="N28" s="376"/>
      <c r="O28" s="360"/>
    </row>
    <row r="29" spans="1:17" ht="63" customHeight="1" thickBot="1">
      <c r="A29" s="372">
        <v>21</v>
      </c>
      <c r="B29" s="90" t="s">
        <v>487</v>
      </c>
      <c r="C29" s="90" t="s">
        <v>483</v>
      </c>
      <c r="D29" s="374">
        <v>107570.65</v>
      </c>
      <c r="E29" s="374">
        <v>53785.32</v>
      </c>
      <c r="F29" s="375">
        <f t="shared" si="1"/>
        <v>0.4999999535189199</v>
      </c>
      <c r="G29" s="90">
        <v>107570.65</v>
      </c>
      <c r="H29" s="90">
        <v>53785.32</v>
      </c>
      <c r="I29" s="90" t="s">
        <v>249</v>
      </c>
      <c r="J29" s="90" t="s">
        <v>249</v>
      </c>
      <c r="K29" s="90">
        <v>107570.65</v>
      </c>
      <c r="L29" s="90">
        <v>53785.32</v>
      </c>
      <c r="M29" s="90"/>
      <c r="N29" s="90"/>
      <c r="O29" s="360"/>
    </row>
    <row r="30" spans="1:17" ht="64.2" customHeight="1" thickBot="1">
      <c r="A30" s="373">
        <v>22</v>
      </c>
      <c r="B30" s="90" t="s">
        <v>488</v>
      </c>
      <c r="C30" s="90" t="s">
        <v>484</v>
      </c>
      <c r="D30" s="374">
        <f t="shared" ref="D30" si="4">E30*2</f>
        <v>154000</v>
      </c>
      <c r="E30" s="374">
        <v>77000</v>
      </c>
      <c r="F30" s="375">
        <f t="shared" si="1"/>
        <v>0.5</v>
      </c>
      <c r="G30" s="90">
        <v>154000</v>
      </c>
      <c r="H30" s="90">
        <v>77000</v>
      </c>
      <c r="I30" s="90" t="s">
        <v>249</v>
      </c>
      <c r="J30" s="90" t="s">
        <v>249</v>
      </c>
      <c r="K30" s="90">
        <v>154000</v>
      </c>
      <c r="L30" s="90">
        <v>77000</v>
      </c>
      <c r="M30" s="90"/>
      <c r="N30" s="90"/>
      <c r="O30" s="360"/>
    </row>
    <row r="31" spans="1:17" ht="55.5" customHeight="1" thickBot="1">
      <c r="A31" s="372">
        <v>23</v>
      </c>
      <c r="B31" s="90" t="s">
        <v>489</v>
      </c>
      <c r="C31" s="90" t="s">
        <v>485</v>
      </c>
      <c r="D31" s="374">
        <v>35234.019999999997</v>
      </c>
      <c r="E31" s="374">
        <v>21140.41</v>
      </c>
      <c r="F31" s="375">
        <f t="shared" si="1"/>
        <v>0.59999994323667871</v>
      </c>
      <c r="G31" s="90">
        <v>35234.019999999997</v>
      </c>
      <c r="H31" s="90">
        <v>21140.41</v>
      </c>
      <c r="I31" s="90" t="s">
        <v>249</v>
      </c>
      <c r="J31" s="90" t="s">
        <v>249</v>
      </c>
      <c r="K31" s="90">
        <v>35234.019999999997</v>
      </c>
      <c r="L31" s="90">
        <v>21140.41</v>
      </c>
      <c r="M31" s="90"/>
      <c r="N31" s="90"/>
      <c r="O31" s="360"/>
    </row>
    <row r="32" spans="1:17" ht="55.5" customHeight="1" thickBot="1">
      <c r="A32" s="373"/>
      <c r="B32" s="90"/>
      <c r="C32" s="90"/>
      <c r="D32" s="374"/>
      <c r="E32" s="374"/>
      <c r="F32" s="375"/>
      <c r="G32" s="90"/>
      <c r="H32" s="90"/>
      <c r="I32" s="90"/>
      <c r="J32" s="90"/>
      <c r="K32" s="90"/>
      <c r="L32" s="90"/>
      <c r="M32" s="90"/>
      <c r="N32" s="90"/>
      <c r="O32" s="360"/>
    </row>
    <row r="33" spans="1:18" ht="82.2" customHeight="1">
      <c r="A33" s="230">
        <v>1</v>
      </c>
      <c r="B33" s="90" t="s">
        <v>322</v>
      </c>
      <c r="C33" s="90" t="s">
        <v>250</v>
      </c>
      <c r="D33" s="230">
        <v>91858.32</v>
      </c>
      <c r="E33" s="230">
        <v>45929.19</v>
      </c>
      <c r="F33" s="377">
        <f t="shared" si="1"/>
        <v>0.50000032658990501</v>
      </c>
      <c r="G33" s="230">
        <v>0</v>
      </c>
      <c r="H33" s="230">
        <v>0</v>
      </c>
      <c r="I33" s="90" t="s">
        <v>323</v>
      </c>
      <c r="J33" s="90" t="s">
        <v>324</v>
      </c>
      <c r="K33" s="230">
        <f t="shared" ref="K33:L33" si="5">G33</f>
        <v>0</v>
      </c>
      <c r="L33" s="230">
        <f t="shared" si="5"/>
        <v>0</v>
      </c>
      <c r="M33" s="230">
        <v>0</v>
      </c>
      <c r="N33" s="230">
        <v>0</v>
      </c>
      <c r="O33" s="230">
        <v>0</v>
      </c>
    </row>
    <row r="34" spans="1:18" ht="55.5" hidden="1" customHeight="1">
      <c r="A34" s="90" t="s">
        <v>61</v>
      </c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>
        <v>0</v>
      </c>
    </row>
    <row r="35" spans="1:18" ht="55.5" hidden="1" customHeight="1">
      <c r="A35" s="90" t="s">
        <v>60</v>
      </c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>
        <v>0</v>
      </c>
    </row>
    <row r="36" spans="1:18" ht="55.5" hidden="1" customHeight="1">
      <c r="A36" s="90" t="s">
        <v>62</v>
      </c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>
        <v>0</v>
      </c>
    </row>
    <row r="37" spans="1:18" ht="55.5" hidden="1" customHeight="1">
      <c r="A37" s="90" t="s">
        <v>60</v>
      </c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>
        <v>0</v>
      </c>
    </row>
    <row r="38" spans="1:18" ht="55.5" hidden="1" customHeight="1">
      <c r="A38" s="90" t="s">
        <v>63</v>
      </c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>
        <v>0</v>
      </c>
    </row>
    <row r="39" spans="1:18" ht="55.5" hidden="1" customHeight="1">
      <c r="A39" s="90" t="s">
        <v>60</v>
      </c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>
        <v>0</v>
      </c>
    </row>
    <row r="40" spans="1:18" ht="55.5" hidden="1" customHeight="1">
      <c r="A40" s="90" t="s">
        <v>64</v>
      </c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>
        <v>0</v>
      </c>
    </row>
    <row r="41" spans="1:18" ht="55.5" hidden="1" customHeight="1">
      <c r="A41" s="90" t="s">
        <v>60</v>
      </c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>
        <v>0</v>
      </c>
    </row>
    <row r="42" spans="1:18" ht="55.5" hidden="1" customHeight="1">
      <c r="A42" s="90" t="s">
        <v>65</v>
      </c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>
        <v>0</v>
      </c>
    </row>
    <row r="43" spans="1:18" ht="55.5" hidden="1" customHeight="1">
      <c r="A43" s="90" t="s">
        <v>60</v>
      </c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>
        <v>0</v>
      </c>
    </row>
    <row r="44" spans="1:18" ht="55.5" hidden="1" customHeight="1">
      <c r="A44" s="90" t="s">
        <v>66</v>
      </c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>
        <v>0</v>
      </c>
    </row>
    <row r="45" spans="1:18" ht="55.5" hidden="1" customHeight="1">
      <c r="A45" s="90" t="s">
        <v>60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>
        <v>0</v>
      </c>
    </row>
    <row r="46" spans="1:18" ht="55.5" hidden="1" customHeight="1">
      <c r="A46" s="90" t="s">
        <v>67</v>
      </c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>
        <v>0</v>
      </c>
    </row>
    <row r="47" spans="1:18" ht="55.5" hidden="1" customHeight="1">
      <c r="A47" s="90" t="s">
        <v>60</v>
      </c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>
        <v>0</v>
      </c>
    </row>
    <row r="48" spans="1:18" ht="55.5" customHeight="1" thickBot="1">
      <c r="A48" s="363" t="s">
        <v>68</v>
      </c>
      <c r="B48" s="58"/>
      <c r="C48" s="58"/>
      <c r="D48" s="387">
        <f>SUM(D8:D47)</f>
        <v>1962045</v>
      </c>
      <c r="E48" s="387">
        <f>SUM(E8:E47)</f>
        <v>956037.47</v>
      </c>
      <c r="F48" s="387"/>
      <c r="G48" s="387">
        <f>SUM(G8:G47)</f>
        <v>1870186.68</v>
      </c>
      <c r="H48" s="387">
        <f>SUM(H8:H47)</f>
        <v>910108.27999999991</v>
      </c>
      <c r="I48" s="387"/>
      <c r="J48" s="387"/>
      <c r="K48" s="387">
        <f>SUM(K8:K47)</f>
        <v>1870186.68</v>
      </c>
      <c r="L48" s="387">
        <f>SUM(L8:L47)</f>
        <v>910108.27999999991</v>
      </c>
      <c r="M48" s="387">
        <f>SUM(M8:M47)</f>
        <v>1433853.3</v>
      </c>
      <c r="N48" s="387">
        <f>SUM(N8:N47)</f>
        <v>686822.81</v>
      </c>
      <c r="O48" s="387">
        <f>SUM(O8:O47)</f>
        <v>417704.51999999996</v>
      </c>
      <c r="R48" s="65" t="e">
        <f>O13+O21+O23+O24+#REF!+#REF!+#REF!+#REF!+#REF!+#REF!</f>
        <v>#REF!</v>
      </c>
    </row>
    <row r="49" spans="1:14" s="234" customFormat="1" ht="29.25" customHeight="1">
      <c r="A49" s="631"/>
      <c r="B49" s="631"/>
      <c r="C49" s="631"/>
      <c r="D49" s="631"/>
      <c r="E49" s="631"/>
      <c r="F49" s="631"/>
      <c r="G49" s="631"/>
      <c r="H49" s="631"/>
      <c r="I49" s="631"/>
      <c r="J49" s="631"/>
      <c r="K49" s="631"/>
      <c r="L49" s="631"/>
      <c r="M49" s="631"/>
      <c r="N49" s="631"/>
    </row>
    <row r="50" spans="1:14" s="234" customFormat="1" ht="22.5" customHeight="1">
      <c r="D50" s="393" t="e">
        <f>#REF!+#REF!</f>
        <v>#REF!</v>
      </c>
    </row>
    <row r="51" spans="1:14" ht="55.5" customHeight="1">
      <c r="N51" s="146"/>
    </row>
  </sheetData>
  <mergeCells count="18">
    <mergeCell ref="A6:C6"/>
    <mergeCell ref="A49:N49"/>
    <mergeCell ref="J2:J3"/>
    <mergeCell ref="K2:K3"/>
    <mergeCell ref="L2:L3"/>
    <mergeCell ref="M2:M3"/>
    <mergeCell ref="O2:O3"/>
    <mergeCell ref="A5:C5"/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workbookViewId="0">
      <selection activeCell="K8" sqref="K8"/>
    </sheetView>
  </sheetViews>
  <sheetFormatPr defaultColWidth="9.109375" defaultRowHeight="12"/>
  <cols>
    <col min="1" max="1" width="13.6640625" style="65" customWidth="1"/>
    <col min="2" max="2" width="28.33203125" style="65" customWidth="1"/>
    <col min="3" max="3" width="33" style="65" customWidth="1"/>
    <col min="4" max="4" width="13" style="65" customWidth="1"/>
    <col min="5" max="5" width="11.5546875" style="65" customWidth="1"/>
    <col min="6" max="6" width="9.109375" style="65" customWidth="1"/>
    <col min="7" max="7" width="12.5546875" style="65" customWidth="1"/>
    <col min="8" max="8" width="13.5546875" style="65" customWidth="1"/>
    <col min="9" max="9" width="12.33203125" style="65" customWidth="1"/>
    <col min="10" max="10" width="15.6640625" style="65" customWidth="1"/>
    <col min="11" max="11" width="13.33203125" style="65" customWidth="1"/>
    <col min="12" max="12" width="12.44140625" style="65" customWidth="1"/>
    <col min="13" max="13" width="12.109375" style="65" customWidth="1"/>
    <col min="14" max="15" width="11.33203125" style="65" customWidth="1"/>
    <col min="16" max="16" width="9.5546875" style="65" hidden="1" customWidth="1"/>
    <col min="17" max="16384" width="9.109375" style="65"/>
  </cols>
  <sheetData>
    <row r="1" spans="1:19" ht="12.6" thickBot="1">
      <c r="A1" s="630" t="s">
        <v>491</v>
      </c>
      <c r="B1" s="630"/>
      <c r="C1" s="630"/>
      <c r="D1" s="630"/>
      <c r="E1" s="630"/>
      <c r="F1" s="630"/>
      <c r="G1" s="630"/>
      <c r="H1" s="630"/>
      <c r="I1" s="630"/>
      <c r="J1" s="630"/>
      <c r="K1" s="630"/>
      <c r="L1" s="630"/>
      <c r="M1" s="630"/>
      <c r="N1" s="630"/>
      <c r="O1" s="630"/>
    </row>
    <row r="2" spans="1:19">
      <c r="A2" s="620" t="s">
        <v>43</v>
      </c>
      <c r="B2" s="620" t="s">
        <v>226</v>
      </c>
      <c r="C2" s="620" t="s">
        <v>227</v>
      </c>
      <c r="D2" s="620" t="s">
        <v>224</v>
      </c>
      <c r="E2" s="620" t="s">
        <v>331</v>
      </c>
      <c r="F2" s="620" t="s">
        <v>228</v>
      </c>
      <c r="G2" s="620" t="s">
        <v>77</v>
      </c>
      <c r="H2" s="620" t="s">
        <v>78</v>
      </c>
      <c r="I2" s="625" t="s">
        <v>229</v>
      </c>
      <c r="J2" s="625" t="s">
        <v>230</v>
      </c>
      <c r="K2" s="620" t="s">
        <v>79</v>
      </c>
      <c r="L2" s="620" t="s">
        <v>80</v>
      </c>
      <c r="M2" s="620" t="s">
        <v>231</v>
      </c>
      <c r="N2" s="362" t="s">
        <v>232</v>
      </c>
      <c r="O2" s="620" t="s">
        <v>83</v>
      </c>
    </row>
    <row r="3" spans="1:19" ht="23.4" thickBot="1">
      <c r="A3" s="621"/>
      <c r="B3" s="621"/>
      <c r="C3" s="621"/>
      <c r="D3" s="621"/>
      <c r="E3" s="621"/>
      <c r="F3" s="621"/>
      <c r="G3" s="621"/>
      <c r="H3" s="621"/>
      <c r="I3" s="626"/>
      <c r="J3" s="626"/>
      <c r="K3" s="621"/>
      <c r="L3" s="621"/>
      <c r="M3" s="621"/>
      <c r="N3" s="364" t="s">
        <v>233</v>
      </c>
      <c r="O3" s="621"/>
    </row>
    <row r="4" spans="1:19">
      <c r="A4" s="365">
        <v>1</v>
      </c>
      <c r="B4" s="366">
        <v>2</v>
      </c>
      <c r="C4" s="366">
        <v>3</v>
      </c>
      <c r="D4" s="366">
        <v>4</v>
      </c>
      <c r="E4" s="366">
        <v>5</v>
      </c>
      <c r="F4" s="366">
        <v>6</v>
      </c>
      <c r="G4" s="366">
        <v>7</v>
      </c>
      <c r="H4" s="366">
        <v>8</v>
      </c>
      <c r="I4" s="367">
        <v>9</v>
      </c>
      <c r="J4" s="367">
        <v>10</v>
      </c>
      <c r="K4" s="366">
        <v>11</v>
      </c>
      <c r="L4" s="366">
        <v>12</v>
      </c>
      <c r="M4" s="366">
        <v>13</v>
      </c>
      <c r="N4" s="366">
        <v>14</v>
      </c>
      <c r="O4" s="366">
        <v>15</v>
      </c>
    </row>
    <row r="5" spans="1:19" ht="12.6" thickBot="1">
      <c r="A5" s="627" t="s">
        <v>59</v>
      </c>
      <c r="B5" s="628"/>
      <c r="C5" s="629"/>
      <c r="D5" s="368"/>
      <c r="E5" s="368"/>
      <c r="F5" s="368"/>
      <c r="G5" s="368"/>
      <c r="H5" s="368"/>
      <c r="I5" s="368"/>
      <c r="J5" s="368"/>
      <c r="K5" s="368"/>
      <c r="L5" s="368"/>
      <c r="M5" s="368"/>
      <c r="N5" s="368"/>
      <c r="O5" s="368"/>
    </row>
    <row r="6" spans="1:19" ht="12.6" thickBot="1">
      <c r="A6" s="612" t="s">
        <v>69</v>
      </c>
      <c r="B6" s="613"/>
      <c r="C6" s="614"/>
      <c r="D6" s="369"/>
      <c r="E6" s="370"/>
      <c r="F6" s="233"/>
      <c r="G6" s="369"/>
      <c r="H6" s="370"/>
      <c r="I6" s="369"/>
      <c r="J6" s="369"/>
      <c r="K6" s="370"/>
      <c r="L6" s="370"/>
      <c r="M6" s="370"/>
      <c r="N6" s="370"/>
      <c r="O6" s="370"/>
      <c r="S6" s="173"/>
    </row>
    <row r="7" spans="1:19" s="225" customFormat="1">
      <c r="A7" s="372">
        <v>1</v>
      </c>
      <c r="B7" s="224" t="s">
        <v>319</v>
      </c>
      <c r="C7" s="90" t="s">
        <v>247</v>
      </c>
      <c r="D7" s="90">
        <v>159203.38</v>
      </c>
      <c r="E7" s="90">
        <v>79601.69</v>
      </c>
      <c r="F7" s="199">
        <f t="shared" ref="F7:F15" si="0">E7/D7</f>
        <v>0.5</v>
      </c>
      <c r="G7" s="90">
        <v>159203.38</v>
      </c>
      <c r="H7" s="90">
        <v>79601.69</v>
      </c>
      <c r="I7" s="90" t="s">
        <v>249</v>
      </c>
      <c r="J7" s="90" t="s">
        <v>249</v>
      </c>
      <c r="K7" s="90">
        <f t="shared" ref="K7:L8" si="1">G7</f>
        <v>159203.38</v>
      </c>
      <c r="L7" s="90">
        <f t="shared" si="1"/>
        <v>79601.69</v>
      </c>
      <c r="M7" s="90">
        <v>159202.89000000001</v>
      </c>
      <c r="N7" s="90">
        <v>79601.429999999993</v>
      </c>
      <c r="O7" s="73">
        <v>0</v>
      </c>
    </row>
    <row r="8" spans="1:19" s="225" customFormat="1" ht="48">
      <c r="A8" s="372">
        <v>2</v>
      </c>
      <c r="B8" s="90" t="s">
        <v>320</v>
      </c>
      <c r="C8" s="90" t="s">
        <v>248</v>
      </c>
      <c r="D8" s="90">
        <v>90000</v>
      </c>
      <c r="E8" s="90">
        <v>45000</v>
      </c>
      <c r="F8" s="199">
        <f t="shared" si="0"/>
        <v>0.5</v>
      </c>
      <c r="G8" s="90">
        <v>90000</v>
      </c>
      <c r="H8" s="90">
        <v>45000</v>
      </c>
      <c r="I8" s="90" t="s">
        <v>249</v>
      </c>
      <c r="J8" s="90" t="s">
        <v>249</v>
      </c>
      <c r="K8" s="90">
        <f t="shared" si="1"/>
        <v>90000</v>
      </c>
      <c r="L8" s="90">
        <f t="shared" si="1"/>
        <v>45000</v>
      </c>
      <c r="M8" s="90">
        <v>90000</v>
      </c>
      <c r="N8" s="90">
        <v>45000</v>
      </c>
      <c r="O8" s="392">
        <v>45000</v>
      </c>
    </row>
    <row r="9" spans="1:19" ht="24.6" thickBot="1">
      <c r="A9" s="372">
        <v>3</v>
      </c>
      <c r="B9" s="90" t="s">
        <v>340</v>
      </c>
      <c r="C9" s="90" t="s">
        <v>341</v>
      </c>
      <c r="D9" s="226">
        <v>149500</v>
      </c>
      <c r="E9" s="226">
        <v>59800</v>
      </c>
      <c r="F9" s="227">
        <f t="shared" si="0"/>
        <v>0.4</v>
      </c>
      <c r="G9" s="226">
        <v>149500</v>
      </c>
      <c r="H9" s="226">
        <v>59800</v>
      </c>
      <c r="I9" s="90" t="s">
        <v>249</v>
      </c>
      <c r="J9" s="90" t="s">
        <v>249</v>
      </c>
      <c r="K9" s="226">
        <v>149500</v>
      </c>
      <c r="L9" s="226">
        <v>59800</v>
      </c>
      <c r="M9" s="226"/>
      <c r="N9" s="226"/>
      <c r="O9" s="228">
        <v>0</v>
      </c>
    </row>
    <row r="10" spans="1:19" ht="12.6" thickBot="1">
      <c r="A10" s="372">
        <v>4</v>
      </c>
      <c r="B10" s="90" t="s">
        <v>490</v>
      </c>
      <c r="C10" s="90" t="s">
        <v>247</v>
      </c>
      <c r="D10" s="374">
        <v>159892.01</v>
      </c>
      <c r="E10" s="374">
        <f>D10/2-0.01</f>
        <v>79945.99500000001</v>
      </c>
      <c r="F10" s="375">
        <f t="shared" si="0"/>
        <v>0.49999993745778792</v>
      </c>
      <c r="G10" s="90">
        <v>159892.01</v>
      </c>
      <c r="H10" s="90">
        <v>79945.99500000001</v>
      </c>
      <c r="I10" s="90" t="s">
        <v>249</v>
      </c>
      <c r="J10" s="90" t="s">
        <v>249</v>
      </c>
      <c r="K10" s="90">
        <v>159892.01</v>
      </c>
      <c r="L10" s="90">
        <v>79945.99500000001</v>
      </c>
      <c r="M10" s="90"/>
      <c r="N10" s="90"/>
      <c r="O10" s="360"/>
    </row>
    <row r="11" spans="1:19" ht="48">
      <c r="A11" s="372">
        <v>5</v>
      </c>
      <c r="B11" s="90" t="s">
        <v>292</v>
      </c>
      <c r="C11" s="90" t="s">
        <v>251</v>
      </c>
      <c r="D11" s="90">
        <v>83200</v>
      </c>
      <c r="E11" s="90">
        <v>41600</v>
      </c>
      <c r="F11" s="199">
        <f t="shared" si="0"/>
        <v>0.5</v>
      </c>
      <c r="G11" s="90">
        <v>83200</v>
      </c>
      <c r="H11" s="90">
        <v>41600</v>
      </c>
      <c r="I11" s="90" t="s">
        <v>249</v>
      </c>
      <c r="J11" s="90" t="s">
        <v>492</v>
      </c>
      <c r="K11" s="90">
        <f t="shared" ref="K11:L11" si="2">G11</f>
        <v>83200</v>
      </c>
      <c r="L11" s="90">
        <f t="shared" si="2"/>
        <v>41600</v>
      </c>
      <c r="M11" s="90">
        <v>83200</v>
      </c>
      <c r="N11" s="90">
        <v>41600</v>
      </c>
      <c r="O11" s="90">
        <v>0</v>
      </c>
      <c r="P11" s="90" t="s">
        <v>332</v>
      </c>
    </row>
    <row r="12" spans="1:19">
      <c r="A12" s="372">
        <v>6</v>
      </c>
      <c r="B12" s="198" t="s">
        <v>265</v>
      </c>
      <c r="C12" s="90" t="s">
        <v>266</v>
      </c>
      <c r="D12" s="90">
        <v>118183</v>
      </c>
      <c r="E12" s="382">
        <f t="shared" ref="E12:E13" si="3">D12*70%</f>
        <v>82728.099999999991</v>
      </c>
      <c r="F12" s="383">
        <f t="shared" si="0"/>
        <v>0.7</v>
      </c>
      <c r="G12" s="90">
        <f t="shared" ref="G12:H13" si="4">D12</f>
        <v>118183</v>
      </c>
      <c r="H12" s="382">
        <f t="shared" si="4"/>
        <v>82728.099999999991</v>
      </c>
      <c r="I12" s="90" t="s">
        <v>249</v>
      </c>
      <c r="J12" s="384" t="s">
        <v>249</v>
      </c>
      <c r="K12" s="90">
        <v>118183</v>
      </c>
      <c r="L12" s="382">
        <v>82728.099999999991</v>
      </c>
      <c r="M12" s="90">
        <v>118183</v>
      </c>
      <c r="N12" s="382">
        <v>82728.099999999991</v>
      </c>
      <c r="O12" s="90">
        <v>0</v>
      </c>
    </row>
    <row r="13" spans="1:19" ht="24">
      <c r="A13" s="372">
        <v>7</v>
      </c>
      <c r="B13" s="198" t="s">
        <v>269</v>
      </c>
      <c r="C13" s="90" t="s">
        <v>270</v>
      </c>
      <c r="D13" s="90">
        <v>35628</v>
      </c>
      <c r="E13" s="382">
        <f t="shared" si="3"/>
        <v>24939.599999999999</v>
      </c>
      <c r="F13" s="383">
        <f t="shared" si="0"/>
        <v>0.7</v>
      </c>
      <c r="G13" s="90">
        <f t="shared" si="4"/>
        <v>35628</v>
      </c>
      <c r="H13" s="382">
        <f t="shared" si="4"/>
        <v>24939.599999999999</v>
      </c>
      <c r="I13" s="90" t="s">
        <v>249</v>
      </c>
      <c r="J13" s="384" t="s">
        <v>249</v>
      </c>
      <c r="K13" s="90">
        <v>35628</v>
      </c>
      <c r="L13" s="382">
        <v>24939.599999999999</v>
      </c>
      <c r="M13" s="90">
        <v>35628</v>
      </c>
      <c r="N13" s="382">
        <v>24939.599999999999</v>
      </c>
      <c r="O13" s="90">
        <v>0</v>
      </c>
    </row>
    <row r="14" spans="1:19" ht="36">
      <c r="A14" s="372">
        <v>8</v>
      </c>
      <c r="B14" s="385" t="s">
        <v>344</v>
      </c>
      <c r="C14" s="108" t="s">
        <v>345</v>
      </c>
      <c r="D14" s="112">
        <v>10363.6</v>
      </c>
      <c r="E14" s="89">
        <v>7254.52</v>
      </c>
      <c r="F14" s="383">
        <f t="shared" si="0"/>
        <v>0.70000000000000007</v>
      </c>
      <c r="G14" s="112">
        <v>10363.6</v>
      </c>
      <c r="H14" s="89">
        <v>7254.52</v>
      </c>
      <c r="I14" s="71" t="s">
        <v>249</v>
      </c>
      <c r="J14" s="388" t="s">
        <v>493</v>
      </c>
      <c r="K14" s="112">
        <v>10363.6</v>
      </c>
      <c r="L14" s="89">
        <v>7254.52</v>
      </c>
      <c r="M14" s="78">
        <v>0</v>
      </c>
      <c r="N14" s="71">
        <v>0</v>
      </c>
      <c r="O14" s="78">
        <f t="shared" ref="O14" si="5">M14-N14</f>
        <v>0</v>
      </c>
    </row>
    <row r="15" spans="1:19" ht="72">
      <c r="A15" s="372">
        <v>9</v>
      </c>
      <c r="B15" s="385" t="s">
        <v>346</v>
      </c>
      <c r="C15" s="108" t="s">
        <v>375</v>
      </c>
      <c r="D15" s="112">
        <v>72286</v>
      </c>
      <c r="E15" s="89">
        <v>50412.26</v>
      </c>
      <c r="F15" s="383">
        <f t="shared" si="0"/>
        <v>0.69740004980217474</v>
      </c>
      <c r="G15" s="112">
        <v>72286</v>
      </c>
      <c r="H15" s="89">
        <v>50412.26</v>
      </c>
      <c r="I15" s="71" t="s">
        <v>249</v>
      </c>
      <c r="J15" s="88" t="s">
        <v>249</v>
      </c>
      <c r="K15" s="112">
        <v>72286</v>
      </c>
      <c r="L15" s="89">
        <v>50412.26</v>
      </c>
      <c r="M15" s="78">
        <v>0</v>
      </c>
      <c r="N15" s="71">
        <v>0</v>
      </c>
      <c r="O15" s="361">
        <v>0</v>
      </c>
    </row>
    <row r="16" spans="1:19" ht="36">
      <c r="A16" s="372">
        <v>10</v>
      </c>
      <c r="B16" s="385" t="s">
        <v>495</v>
      </c>
      <c r="C16" s="385" t="s">
        <v>498</v>
      </c>
      <c r="D16" s="112">
        <v>280641.15000000002</v>
      </c>
      <c r="E16" s="89">
        <v>196448.8</v>
      </c>
      <c r="F16" s="112">
        <f>E16/D16</f>
        <v>0.69999998218365334</v>
      </c>
      <c r="G16" s="89">
        <f>D16</f>
        <v>280641.15000000002</v>
      </c>
      <c r="H16" s="112">
        <f>E16</f>
        <v>196448.8</v>
      </c>
      <c r="I16" s="89" t="s">
        <v>249</v>
      </c>
      <c r="J16" s="389" t="s">
        <v>249</v>
      </c>
      <c r="K16" s="89">
        <f>D16</f>
        <v>280641.15000000002</v>
      </c>
      <c r="L16" s="112">
        <f>E16</f>
        <v>196448.8</v>
      </c>
      <c r="M16" s="78">
        <v>0</v>
      </c>
      <c r="N16" s="71">
        <v>0</v>
      </c>
      <c r="O16" s="361">
        <v>0</v>
      </c>
    </row>
    <row r="17" spans="1:18" ht="36">
      <c r="A17" s="372">
        <v>11</v>
      </c>
      <c r="B17" s="385" t="s">
        <v>496</v>
      </c>
      <c r="C17" s="385" t="s">
        <v>499</v>
      </c>
      <c r="D17" s="112">
        <v>190690</v>
      </c>
      <c r="E17" s="89">
        <v>95345</v>
      </c>
      <c r="F17" s="112">
        <f>E17/D17</f>
        <v>0.5</v>
      </c>
      <c r="G17" s="89">
        <f>D17</f>
        <v>190690</v>
      </c>
      <c r="H17" s="112">
        <f>E17</f>
        <v>95345</v>
      </c>
      <c r="I17" s="89" t="s">
        <v>249</v>
      </c>
      <c r="J17" s="389" t="s">
        <v>249</v>
      </c>
      <c r="K17" s="89">
        <f>D17</f>
        <v>190690</v>
      </c>
      <c r="L17" s="112">
        <f>E17</f>
        <v>95345</v>
      </c>
      <c r="M17" s="78">
        <v>0</v>
      </c>
      <c r="N17" s="71">
        <v>0</v>
      </c>
      <c r="O17" s="361">
        <v>0</v>
      </c>
    </row>
    <row r="18" spans="1:18" ht="24">
      <c r="A18" s="372">
        <v>12</v>
      </c>
      <c r="B18" s="385" t="s">
        <v>497</v>
      </c>
      <c r="C18" s="385" t="s">
        <v>500</v>
      </c>
      <c r="D18" s="112">
        <v>80730</v>
      </c>
      <c r="E18" s="89">
        <v>40365</v>
      </c>
      <c r="F18" s="112">
        <f>E18/D18</f>
        <v>0.5</v>
      </c>
      <c r="G18" s="89">
        <v>87730</v>
      </c>
      <c r="H18" s="112">
        <v>40365</v>
      </c>
      <c r="I18" s="89" t="s">
        <v>249</v>
      </c>
      <c r="J18" s="389" t="s">
        <v>249</v>
      </c>
      <c r="K18" s="89">
        <v>87730</v>
      </c>
      <c r="L18" s="112">
        <v>40365</v>
      </c>
      <c r="M18" s="78">
        <v>0</v>
      </c>
      <c r="N18" s="71">
        <v>0</v>
      </c>
      <c r="O18" s="361">
        <v>0</v>
      </c>
    </row>
    <row r="19" spans="1:18" ht="12.6" thickBot="1">
      <c r="A19" s="363"/>
      <c r="B19" s="58"/>
      <c r="C19" s="58"/>
      <c r="D19" s="387">
        <f>SUM(D7:D18)</f>
        <v>1430317.1400000001</v>
      </c>
      <c r="E19" s="387">
        <f>SUM(E7:E18)</f>
        <v>803440.96499999997</v>
      </c>
      <c r="F19" s="387"/>
      <c r="G19" s="387">
        <f>SUM(G7:G18)</f>
        <v>1437317.1400000001</v>
      </c>
      <c r="H19" s="387">
        <f>SUM(H7:H18)</f>
        <v>803440.96499999997</v>
      </c>
      <c r="I19" s="387"/>
      <c r="J19" s="387"/>
      <c r="K19" s="387">
        <f>SUM(K7:K18)</f>
        <v>1437317.1400000001</v>
      </c>
      <c r="L19" s="387">
        <f>SUM(L7:L18)</f>
        <v>803440.96499999997</v>
      </c>
      <c r="M19" s="387">
        <f>SUM(M7:M18)</f>
        <v>486213.89</v>
      </c>
      <c r="N19" s="387">
        <f>SUM(N7:N18)</f>
        <v>273869.12999999995</v>
      </c>
      <c r="O19" s="387">
        <f>SUM(O7:O18)</f>
        <v>45000</v>
      </c>
      <c r="R19" s="65" t="e">
        <f>#REF!+#REF!+O8+#REF!+#REF!+#REF!+#REF!+#REF!+#REF!+#REF!</f>
        <v>#REF!</v>
      </c>
    </row>
    <row r="20" spans="1:18" s="234" customFormat="1">
      <c r="A20" s="631"/>
      <c r="B20" s="631"/>
      <c r="C20" s="631"/>
      <c r="D20" s="631"/>
      <c r="E20" s="631"/>
      <c r="F20" s="631"/>
      <c r="G20" s="631"/>
      <c r="H20" s="631"/>
      <c r="I20" s="631"/>
      <c r="J20" s="631"/>
      <c r="K20" s="631"/>
      <c r="L20" s="631"/>
      <c r="M20" s="631"/>
      <c r="N20" s="631"/>
    </row>
    <row r="21" spans="1:18" s="234" customFormat="1">
      <c r="D21" s="393" t="e">
        <f>#REF!+#REF!</f>
        <v>#REF!</v>
      </c>
    </row>
    <row r="22" spans="1:18">
      <c r="N22" s="146"/>
    </row>
  </sheetData>
  <mergeCells count="18">
    <mergeCell ref="A6:C6"/>
    <mergeCell ref="A20:N20"/>
    <mergeCell ref="J2:J3"/>
    <mergeCell ref="K2:K3"/>
    <mergeCell ref="L2:L3"/>
    <mergeCell ref="M2:M3"/>
    <mergeCell ref="O2:O3"/>
    <mergeCell ref="A5:C5"/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selection activeCell="K8" sqref="K8"/>
    </sheetView>
  </sheetViews>
  <sheetFormatPr defaultColWidth="9.109375" defaultRowHeight="12"/>
  <cols>
    <col min="1" max="1" width="13.6640625" style="65" customWidth="1"/>
    <col min="2" max="2" width="28.33203125" style="65" customWidth="1"/>
    <col min="3" max="3" width="33" style="65" customWidth="1"/>
    <col min="4" max="4" width="13" style="65" customWidth="1"/>
    <col min="5" max="5" width="11.5546875" style="65" customWidth="1"/>
    <col min="6" max="6" width="9.109375" style="65" customWidth="1"/>
    <col min="7" max="7" width="12.5546875" style="65" customWidth="1"/>
    <col min="8" max="8" width="13.5546875" style="65" customWidth="1"/>
    <col min="9" max="9" width="12.33203125" style="65" customWidth="1"/>
    <col min="10" max="10" width="15.6640625" style="65" customWidth="1"/>
    <col min="11" max="11" width="13.33203125" style="65" customWidth="1"/>
    <col min="12" max="12" width="12.44140625" style="65" customWidth="1"/>
    <col min="13" max="13" width="12.109375" style="65" customWidth="1"/>
    <col min="14" max="15" width="11.33203125" style="65" customWidth="1"/>
    <col min="16" max="16" width="9.5546875" style="65" hidden="1" customWidth="1"/>
    <col min="17" max="16384" width="9.109375" style="65"/>
  </cols>
  <sheetData>
    <row r="1" spans="1:15" ht="12.6" thickBot="1">
      <c r="A1" s="630" t="s">
        <v>491</v>
      </c>
      <c r="B1" s="630"/>
      <c r="C1" s="630"/>
      <c r="D1" s="630"/>
      <c r="E1" s="630"/>
      <c r="F1" s="630"/>
      <c r="G1" s="630"/>
      <c r="H1" s="630"/>
      <c r="I1" s="630"/>
      <c r="J1" s="630"/>
      <c r="K1" s="630"/>
      <c r="L1" s="630"/>
      <c r="M1" s="630"/>
      <c r="N1" s="630"/>
      <c r="O1" s="630"/>
    </row>
    <row r="2" spans="1:15">
      <c r="A2" s="620" t="s">
        <v>43</v>
      </c>
      <c r="B2" s="620" t="s">
        <v>226</v>
      </c>
      <c r="C2" s="620" t="s">
        <v>227</v>
      </c>
      <c r="D2" s="620" t="s">
        <v>224</v>
      </c>
      <c r="E2" s="620" t="s">
        <v>331</v>
      </c>
      <c r="F2" s="620" t="s">
        <v>228</v>
      </c>
      <c r="G2" s="620" t="s">
        <v>77</v>
      </c>
      <c r="H2" s="620" t="s">
        <v>78</v>
      </c>
      <c r="I2" s="625" t="s">
        <v>229</v>
      </c>
      <c r="J2" s="625" t="s">
        <v>230</v>
      </c>
      <c r="K2" s="620" t="s">
        <v>79</v>
      </c>
      <c r="L2" s="620" t="s">
        <v>80</v>
      </c>
      <c r="M2" s="620" t="s">
        <v>231</v>
      </c>
      <c r="N2" s="362" t="s">
        <v>232</v>
      </c>
      <c r="O2" s="620" t="s">
        <v>83</v>
      </c>
    </row>
    <row r="3" spans="1:15" ht="23.4" thickBot="1">
      <c r="A3" s="621"/>
      <c r="B3" s="621"/>
      <c r="C3" s="621"/>
      <c r="D3" s="621"/>
      <c r="E3" s="621"/>
      <c r="F3" s="621"/>
      <c r="G3" s="621"/>
      <c r="H3" s="621"/>
      <c r="I3" s="626"/>
      <c r="J3" s="626"/>
      <c r="K3" s="621"/>
      <c r="L3" s="621"/>
      <c r="M3" s="621"/>
      <c r="N3" s="364" t="s">
        <v>233</v>
      </c>
      <c r="O3" s="621"/>
    </row>
    <row r="4" spans="1:15">
      <c r="A4" s="365">
        <v>1</v>
      </c>
      <c r="B4" s="366">
        <v>2</v>
      </c>
      <c r="C4" s="366">
        <v>3</v>
      </c>
      <c r="D4" s="366">
        <v>4</v>
      </c>
      <c r="E4" s="366">
        <v>5</v>
      </c>
      <c r="F4" s="366">
        <v>6</v>
      </c>
      <c r="G4" s="366">
        <v>7</v>
      </c>
      <c r="H4" s="366">
        <v>8</v>
      </c>
      <c r="I4" s="367">
        <v>9</v>
      </c>
      <c r="J4" s="367">
        <v>10</v>
      </c>
      <c r="K4" s="366">
        <v>11</v>
      </c>
      <c r="L4" s="366">
        <v>12</v>
      </c>
      <c r="M4" s="366">
        <v>13</v>
      </c>
      <c r="N4" s="366">
        <v>14</v>
      </c>
      <c r="O4" s="366">
        <v>15</v>
      </c>
    </row>
    <row r="5" spans="1:15">
      <c r="A5" s="627" t="s">
        <v>59</v>
      </c>
      <c r="B5" s="628"/>
      <c r="C5" s="629"/>
      <c r="D5" s="368"/>
      <c r="E5" s="368"/>
      <c r="F5" s="368"/>
      <c r="G5" s="368"/>
      <c r="H5" s="368"/>
      <c r="I5" s="368"/>
      <c r="J5" s="368"/>
      <c r="K5" s="368"/>
      <c r="L5" s="368"/>
      <c r="M5" s="368"/>
      <c r="N5" s="368"/>
      <c r="O5" s="368"/>
    </row>
    <row r="6" spans="1:15" s="225" customFormat="1" ht="36">
      <c r="A6" s="372">
        <v>4</v>
      </c>
      <c r="B6" s="224" t="s">
        <v>309</v>
      </c>
      <c r="C6" s="90" t="s">
        <v>238</v>
      </c>
      <c r="D6" s="90">
        <v>145794.76999999999</v>
      </c>
      <c r="E6" s="90">
        <v>72897.37</v>
      </c>
      <c r="F6" s="199">
        <f t="shared" ref="F6:F7" si="0">E6/D6</f>
        <v>0.49999989711565102</v>
      </c>
      <c r="G6" s="90">
        <v>145794.76999999999</v>
      </c>
      <c r="H6" s="90">
        <v>72897.37</v>
      </c>
      <c r="I6" s="90" t="s">
        <v>249</v>
      </c>
      <c r="J6" s="229" t="s">
        <v>249</v>
      </c>
      <c r="K6" s="90">
        <f t="shared" ref="K6:L7" si="1">G6</f>
        <v>145794.76999999999</v>
      </c>
      <c r="L6" s="90">
        <f t="shared" si="1"/>
        <v>72897.37</v>
      </c>
      <c r="M6" s="90">
        <v>145794.76999999999</v>
      </c>
      <c r="N6" s="90">
        <v>72897.37</v>
      </c>
      <c r="O6" s="73">
        <v>0</v>
      </c>
    </row>
    <row r="7" spans="1:15" ht="36">
      <c r="A7" s="230">
        <v>3</v>
      </c>
      <c r="B7" s="90" t="s">
        <v>325</v>
      </c>
      <c r="C7" s="90" t="s">
        <v>252</v>
      </c>
      <c r="D7" s="90">
        <v>62755</v>
      </c>
      <c r="E7" s="90">
        <v>31377.5</v>
      </c>
      <c r="F7" s="199">
        <f t="shared" si="0"/>
        <v>0.5</v>
      </c>
      <c r="G7" s="90">
        <v>0</v>
      </c>
      <c r="H7" s="90">
        <v>0</v>
      </c>
      <c r="I7" s="90" t="s">
        <v>323</v>
      </c>
      <c r="J7" s="90" t="s">
        <v>368</v>
      </c>
      <c r="K7" s="90">
        <f t="shared" si="1"/>
        <v>0</v>
      </c>
      <c r="L7" s="90">
        <f t="shared" si="1"/>
        <v>0</v>
      </c>
      <c r="M7" s="90">
        <v>0</v>
      </c>
      <c r="N7" s="90">
        <v>0</v>
      </c>
      <c r="O7" s="90">
        <v>0</v>
      </c>
    </row>
    <row r="8" spans="1:15" ht="36">
      <c r="A8" s="90">
        <v>4</v>
      </c>
      <c r="B8" s="90" t="s">
        <v>325</v>
      </c>
      <c r="C8" s="90" t="s">
        <v>252</v>
      </c>
      <c r="D8" s="90">
        <v>62755</v>
      </c>
      <c r="E8" s="90">
        <v>31377.5</v>
      </c>
      <c r="F8" s="199">
        <v>0.5</v>
      </c>
      <c r="G8" s="90">
        <v>0</v>
      </c>
      <c r="H8" s="90">
        <v>0</v>
      </c>
      <c r="I8" s="90" t="s">
        <v>323</v>
      </c>
      <c r="J8" s="90" t="s">
        <v>368</v>
      </c>
      <c r="K8" s="90">
        <v>0</v>
      </c>
      <c r="L8" s="90">
        <v>0</v>
      </c>
      <c r="M8" s="90">
        <v>0</v>
      </c>
      <c r="N8" s="90">
        <v>0</v>
      </c>
      <c r="O8" s="90">
        <v>0</v>
      </c>
    </row>
    <row r="9" spans="1:15" ht="24">
      <c r="A9" s="230">
        <v>5</v>
      </c>
      <c r="B9" s="90" t="s">
        <v>325</v>
      </c>
      <c r="C9" s="90" t="s">
        <v>376</v>
      </c>
      <c r="D9" s="90">
        <v>50100</v>
      </c>
      <c r="E9" s="90">
        <v>25050</v>
      </c>
      <c r="F9" s="199">
        <v>0.5</v>
      </c>
      <c r="G9" s="90">
        <v>50100</v>
      </c>
      <c r="H9" s="90">
        <v>25050</v>
      </c>
      <c r="I9" s="90" t="s">
        <v>249</v>
      </c>
      <c r="J9" s="90" t="s">
        <v>249</v>
      </c>
      <c r="K9" s="90">
        <v>50100</v>
      </c>
      <c r="L9" s="90">
        <v>25050</v>
      </c>
      <c r="M9" s="90">
        <v>50100</v>
      </c>
      <c r="N9" s="90">
        <v>25050</v>
      </c>
      <c r="O9" s="90">
        <v>0</v>
      </c>
    </row>
    <row r="10" spans="1:15" ht="36">
      <c r="A10" s="381">
        <v>1</v>
      </c>
      <c r="B10" s="198" t="s">
        <v>261</v>
      </c>
      <c r="C10" s="90" t="s">
        <v>262</v>
      </c>
      <c r="D10" s="90">
        <v>268845.14</v>
      </c>
      <c r="E10" s="382">
        <f t="shared" ref="E10:E13" si="2">D10*70%</f>
        <v>188191.598</v>
      </c>
      <c r="F10" s="383">
        <f>E10/D10</f>
        <v>0.7</v>
      </c>
      <c r="G10" s="90">
        <v>0</v>
      </c>
      <c r="H10" s="382">
        <v>0</v>
      </c>
      <c r="I10" s="90" t="s">
        <v>323</v>
      </c>
      <c r="J10" s="384" t="s">
        <v>326</v>
      </c>
      <c r="K10" s="90"/>
      <c r="L10" s="382"/>
      <c r="M10" s="90">
        <v>0</v>
      </c>
      <c r="N10" s="382">
        <v>0</v>
      </c>
      <c r="O10" s="90">
        <v>0</v>
      </c>
    </row>
    <row r="11" spans="1:15" ht="48">
      <c r="A11" s="381">
        <v>2</v>
      </c>
      <c r="B11" s="198" t="s">
        <v>263</v>
      </c>
      <c r="C11" s="90" t="s">
        <v>264</v>
      </c>
      <c r="D11" s="90">
        <v>29969.16</v>
      </c>
      <c r="E11" s="382">
        <f t="shared" si="2"/>
        <v>20978.412</v>
      </c>
      <c r="F11" s="383">
        <f t="shared" ref="F11:F15" si="3">E11/D11</f>
        <v>0.70000000000000007</v>
      </c>
      <c r="G11" s="90">
        <f t="shared" ref="G11:H12" si="4">D11</f>
        <v>29969.16</v>
      </c>
      <c r="H11" s="382">
        <f t="shared" si="4"/>
        <v>20978.412</v>
      </c>
      <c r="I11" s="90" t="s">
        <v>249</v>
      </c>
      <c r="J11" s="384" t="s">
        <v>249</v>
      </c>
      <c r="K11" s="90">
        <v>29969.16</v>
      </c>
      <c r="L11" s="382">
        <v>20978.412</v>
      </c>
      <c r="M11" s="90">
        <v>29969.16</v>
      </c>
      <c r="N11" s="382">
        <v>20978.412</v>
      </c>
      <c r="O11" s="90">
        <v>0</v>
      </c>
    </row>
    <row r="12" spans="1:15" ht="48">
      <c r="A12" s="381">
        <v>4</v>
      </c>
      <c r="B12" s="198" t="s">
        <v>267</v>
      </c>
      <c r="C12" s="90" t="s">
        <v>268</v>
      </c>
      <c r="D12" s="90">
        <v>380963.16</v>
      </c>
      <c r="E12" s="382">
        <f t="shared" si="2"/>
        <v>266674.21199999994</v>
      </c>
      <c r="F12" s="383">
        <f t="shared" si="3"/>
        <v>0.69999999999999984</v>
      </c>
      <c r="G12" s="90">
        <f t="shared" si="4"/>
        <v>380963.16</v>
      </c>
      <c r="H12" s="382">
        <f t="shared" si="4"/>
        <v>266674.21199999994</v>
      </c>
      <c r="I12" s="90" t="s">
        <v>249</v>
      </c>
      <c r="J12" s="90" t="s">
        <v>494</v>
      </c>
      <c r="K12" s="90">
        <v>380963.16</v>
      </c>
      <c r="L12" s="382">
        <v>266674.21199999994</v>
      </c>
      <c r="M12" s="90">
        <v>380963.16</v>
      </c>
      <c r="N12" s="382">
        <v>266674.21199999994</v>
      </c>
      <c r="O12" s="90">
        <v>0</v>
      </c>
    </row>
    <row r="13" spans="1:15" ht="60">
      <c r="A13" s="381">
        <v>6</v>
      </c>
      <c r="B13" s="198" t="s">
        <v>271</v>
      </c>
      <c r="C13" s="90" t="s">
        <v>272</v>
      </c>
      <c r="D13" s="90">
        <v>20661.650000000001</v>
      </c>
      <c r="E13" s="382">
        <f t="shared" si="2"/>
        <v>14463.155000000001</v>
      </c>
      <c r="F13" s="383">
        <f t="shared" si="3"/>
        <v>0.7</v>
      </c>
      <c r="G13" s="90">
        <v>20661.650000000001</v>
      </c>
      <c r="H13" s="382">
        <v>4036.77</v>
      </c>
      <c r="I13" s="90" t="s">
        <v>249</v>
      </c>
      <c r="J13" s="90" t="s">
        <v>493</v>
      </c>
      <c r="K13" s="90">
        <v>20661.650000000001</v>
      </c>
      <c r="L13" s="382">
        <v>4036.77</v>
      </c>
      <c r="M13" s="71"/>
      <c r="N13" s="71"/>
      <c r="O13" s="90">
        <v>0</v>
      </c>
    </row>
    <row r="14" spans="1:15" ht="36">
      <c r="A14" s="381">
        <v>8</v>
      </c>
      <c r="B14" s="198" t="s">
        <v>296</v>
      </c>
      <c r="C14" s="90" t="s">
        <v>295</v>
      </c>
      <c r="D14" s="374">
        <v>88500</v>
      </c>
      <c r="E14" s="382">
        <v>61950</v>
      </c>
      <c r="F14" s="383">
        <f t="shared" si="3"/>
        <v>0.7</v>
      </c>
      <c r="G14" s="374">
        <v>88500</v>
      </c>
      <c r="H14" s="382">
        <v>61950</v>
      </c>
      <c r="I14" s="90" t="s">
        <v>249</v>
      </c>
      <c r="J14" s="384" t="s">
        <v>249</v>
      </c>
      <c r="K14" s="374">
        <v>88500</v>
      </c>
      <c r="L14" s="382">
        <v>61950</v>
      </c>
      <c r="M14" s="112">
        <v>88500</v>
      </c>
      <c r="N14" s="112">
        <v>61950</v>
      </c>
      <c r="O14" s="90">
        <v>0</v>
      </c>
    </row>
    <row r="15" spans="1:15" ht="36">
      <c r="A15" s="381">
        <v>10</v>
      </c>
      <c r="B15" s="385" t="s">
        <v>261</v>
      </c>
      <c r="C15" s="108" t="s">
        <v>262</v>
      </c>
      <c r="D15" s="112">
        <v>189090</v>
      </c>
      <c r="E15" s="89">
        <v>132363</v>
      </c>
      <c r="F15" s="383">
        <f t="shared" si="3"/>
        <v>0.7</v>
      </c>
      <c r="G15" s="112">
        <v>189090</v>
      </c>
      <c r="H15" s="89">
        <v>132363</v>
      </c>
      <c r="I15" s="71" t="s">
        <v>249</v>
      </c>
      <c r="J15" s="88" t="s">
        <v>249</v>
      </c>
      <c r="K15" s="112">
        <v>189090</v>
      </c>
      <c r="L15" s="89">
        <v>132363</v>
      </c>
      <c r="M15" s="112">
        <v>189090</v>
      </c>
      <c r="N15" s="112">
        <v>132363</v>
      </c>
      <c r="O15" s="78"/>
    </row>
    <row r="16" spans="1:15" s="234" customFormat="1">
      <c r="D16" s="393">
        <f>SUM(D6:D15)</f>
        <v>1299433.8799999999</v>
      </c>
      <c r="E16" s="393">
        <f>SUM(E6:E15)</f>
        <v>845322.74699999997</v>
      </c>
      <c r="F16" s="393"/>
      <c r="G16" s="393">
        <f>SUM(G6:G15)</f>
        <v>905078.74</v>
      </c>
      <c r="H16" s="393">
        <f>SUM(H6:H15)</f>
        <v>583949.76399999997</v>
      </c>
      <c r="I16" s="393"/>
      <c r="J16" s="393"/>
      <c r="K16" s="393">
        <f>SUM(K6:K15)</f>
        <v>905078.74</v>
      </c>
      <c r="L16" s="393">
        <f>SUM(L6:L15)</f>
        <v>583949.76399999997</v>
      </c>
      <c r="M16" s="393">
        <f>SUM(M6:M15)</f>
        <v>884417.09</v>
      </c>
      <c r="N16" s="393">
        <f>SUM(N6:N15)</f>
        <v>579912.99399999995</v>
      </c>
      <c r="O16" s="393">
        <f>SUM(O6:O15)</f>
        <v>0</v>
      </c>
    </row>
    <row r="17" spans="14:14">
      <c r="N17" s="146"/>
    </row>
  </sheetData>
  <mergeCells count="16">
    <mergeCell ref="A5:C5"/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O2:O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opLeftCell="A18" workbookViewId="0">
      <selection activeCell="D26" sqref="D26"/>
    </sheetView>
  </sheetViews>
  <sheetFormatPr defaultColWidth="8.88671875" defaultRowHeight="14.4"/>
  <cols>
    <col min="3" max="3" width="24.6640625" customWidth="1"/>
    <col min="6" max="6" width="25.109375" customWidth="1"/>
    <col min="7" max="7" width="11.5546875" customWidth="1"/>
  </cols>
  <sheetData>
    <row r="1" spans="1:12" ht="61.8" thickBot="1">
      <c r="B1" s="286" t="s">
        <v>377</v>
      </c>
      <c r="C1" s="287" t="s">
        <v>378</v>
      </c>
      <c r="D1" s="287" t="s">
        <v>379</v>
      </c>
      <c r="E1" s="287" t="s">
        <v>380</v>
      </c>
      <c r="F1" s="287" t="s">
        <v>381</v>
      </c>
      <c r="G1" s="288" t="s">
        <v>382</v>
      </c>
      <c r="H1" s="287" t="s">
        <v>356</v>
      </c>
      <c r="I1" s="288" t="s">
        <v>383</v>
      </c>
      <c r="J1" s="287" t="s">
        <v>384</v>
      </c>
      <c r="K1" s="287" t="s">
        <v>385</v>
      </c>
      <c r="L1" s="287" t="s">
        <v>386</v>
      </c>
    </row>
    <row r="2" spans="1:12" ht="15" thickBot="1">
      <c r="B2" s="289" t="s">
        <v>387</v>
      </c>
      <c r="C2" s="290" t="s">
        <v>290</v>
      </c>
      <c r="D2" s="291"/>
      <c r="E2" s="291"/>
      <c r="F2" s="291"/>
      <c r="G2" s="292"/>
      <c r="H2" s="291"/>
      <c r="I2" s="292"/>
      <c r="J2" s="291"/>
      <c r="K2" s="291"/>
      <c r="L2" s="291"/>
    </row>
    <row r="3" spans="1:12" ht="31.2" thickBot="1">
      <c r="A3">
        <v>1</v>
      </c>
      <c r="B3" s="293" t="s">
        <v>388</v>
      </c>
      <c r="C3" s="294" t="s">
        <v>389</v>
      </c>
      <c r="D3" s="294" t="s">
        <v>390</v>
      </c>
      <c r="E3" s="294" t="s">
        <v>391</v>
      </c>
      <c r="F3" s="294" t="s">
        <v>247</v>
      </c>
      <c r="G3" s="295">
        <v>159203.38</v>
      </c>
      <c r="H3" s="296">
        <v>79601.429999999993</v>
      </c>
      <c r="I3" s="295">
        <v>79601.95</v>
      </c>
      <c r="J3" s="297">
        <v>0</v>
      </c>
      <c r="K3" s="297">
        <v>24</v>
      </c>
      <c r="L3" s="294" t="s">
        <v>392</v>
      </c>
    </row>
    <row r="4" spans="1:12" ht="41.4" thickBot="1">
      <c r="A4">
        <v>2</v>
      </c>
      <c r="B4" s="293" t="s">
        <v>393</v>
      </c>
      <c r="C4" s="294" t="s">
        <v>394</v>
      </c>
      <c r="D4" s="294" t="s">
        <v>395</v>
      </c>
      <c r="E4" s="294" t="s">
        <v>396</v>
      </c>
      <c r="F4" s="294" t="s">
        <v>248</v>
      </c>
      <c r="G4" s="295">
        <v>90000</v>
      </c>
      <c r="H4" s="296">
        <v>45000</v>
      </c>
      <c r="I4" s="295">
        <v>45000</v>
      </c>
      <c r="J4" s="297">
        <v>0</v>
      </c>
      <c r="K4" s="297">
        <v>24</v>
      </c>
      <c r="L4" s="294" t="s">
        <v>392</v>
      </c>
    </row>
    <row r="5" spans="1:12" ht="41.4" thickBot="1">
      <c r="A5">
        <v>3</v>
      </c>
      <c r="B5" s="293" t="s">
        <v>397</v>
      </c>
      <c r="C5" s="294" t="s">
        <v>398</v>
      </c>
      <c r="D5" s="294" t="s">
        <v>399</v>
      </c>
      <c r="E5" s="294" t="s">
        <v>400</v>
      </c>
      <c r="F5" s="294" t="s">
        <v>236</v>
      </c>
      <c r="G5" s="295">
        <v>155307.23000000001</v>
      </c>
      <c r="H5" s="296">
        <v>77652.67</v>
      </c>
      <c r="I5" s="295">
        <v>77654.559999999998</v>
      </c>
      <c r="J5" s="297">
        <v>0</v>
      </c>
      <c r="K5" s="297">
        <v>18</v>
      </c>
      <c r="L5" s="294" t="s">
        <v>401</v>
      </c>
    </row>
    <row r="6" spans="1:12" ht="41.4" thickBot="1">
      <c r="A6">
        <v>4</v>
      </c>
      <c r="B6" s="293" t="s">
        <v>402</v>
      </c>
      <c r="C6" s="294" t="s">
        <v>403</v>
      </c>
      <c r="D6" s="294" t="s">
        <v>404</v>
      </c>
      <c r="E6" s="294" t="s">
        <v>405</v>
      </c>
      <c r="F6" s="294" t="s">
        <v>237</v>
      </c>
      <c r="G6" s="295">
        <v>65834.539999999994</v>
      </c>
      <c r="H6" s="296">
        <v>24452.91</v>
      </c>
      <c r="I6" s="295">
        <v>41381.629999999997</v>
      </c>
      <c r="J6" s="296">
        <v>2200</v>
      </c>
      <c r="K6" s="297">
        <v>26</v>
      </c>
      <c r="L6" s="294" t="s">
        <v>392</v>
      </c>
    </row>
    <row r="7" spans="1:12" ht="31.2" thickBot="1">
      <c r="A7">
        <v>5</v>
      </c>
      <c r="B7" s="293" t="s">
        <v>406</v>
      </c>
      <c r="C7" s="294" t="s">
        <v>407</v>
      </c>
      <c r="D7" s="294" t="s">
        <v>408</v>
      </c>
      <c r="E7" s="294" t="s">
        <v>409</v>
      </c>
      <c r="F7" s="294" t="s">
        <v>244</v>
      </c>
      <c r="G7" s="298">
        <v>125664.61</v>
      </c>
      <c r="H7" s="299">
        <v>62832.3</v>
      </c>
      <c r="I7" s="295">
        <v>62832.31</v>
      </c>
      <c r="J7" s="299">
        <v>62832.3</v>
      </c>
      <c r="K7" s="297">
        <v>24</v>
      </c>
      <c r="L7" s="294" t="s">
        <v>392</v>
      </c>
    </row>
    <row r="8" spans="1:12" ht="31.2" thickBot="1">
      <c r="A8">
        <v>6</v>
      </c>
      <c r="B8" s="293" t="s">
        <v>337</v>
      </c>
      <c r="C8" s="294" t="s">
        <v>410</v>
      </c>
      <c r="D8" s="294" t="s">
        <v>390</v>
      </c>
      <c r="E8" s="294" t="s">
        <v>411</v>
      </c>
      <c r="F8" s="294" t="s">
        <v>239</v>
      </c>
      <c r="G8" s="298">
        <v>105960</v>
      </c>
      <c r="H8" s="299">
        <v>42146.39</v>
      </c>
      <c r="I8" s="295">
        <v>63813.61</v>
      </c>
      <c r="J8" s="297">
        <v>0</v>
      </c>
      <c r="K8" s="297">
        <v>24</v>
      </c>
      <c r="L8" s="294" t="s">
        <v>401</v>
      </c>
    </row>
    <row r="9" spans="1:12" ht="31.2" thickBot="1">
      <c r="A9">
        <v>7</v>
      </c>
      <c r="B9" s="293" t="s">
        <v>337</v>
      </c>
      <c r="C9" s="294" t="s">
        <v>412</v>
      </c>
      <c r="D9" s="294" t="s">
        <v>413</v>
      </c>
      <c r="E9" s="294" t="s">
        <v>414</v>
      </c>
      <c r="F9" s="294" t="s">
        <v>245</v>
      </c>
      <c r="G9" s="298">
        <v>81000</v>
      </c>
      <c r="H9" s="299">
        <v>27356.94</v>
      </c>
      <c r="I9" s="295">
        <v>53643.06</v>
      </c>
      <c r="J9" s="299">
        <v>27356.94</v>
      </c>
      <c r="K9" s="297">
        <v>24</v>
      </c>
      <c r="L9" s="294" t="s">
        <v>392</v>
      </c>
    </row>
    <row r="10" spans="1:12" ht="31.2" thickBot="1">
      <c r="A10">
        <v>8</v>
      </c>
      <c r="B10" s="293" t="s">
        <v>415</v>
      </c>
      <c r="C10" s="294" t="s">
        <v>416</v>
      </c>
      <c r="D10" s="294" t="s">
        <v>417</v>
      </c>
      <c r="E10" s="294" t="s">
        <v>418</v>
      </c>
      <c r="F10" s="294" t="s">
        <v>246</v>
      </c>
      <c r="G10" s="298">
        <v>110716.61</v>
      </c>
      <c r="H10" s="299">
        <v>55358.3</v>
      </c>
      <c r="I10" s="295">
        <v>55358.31</v>
      </c>
      <c r="J10" s="297">
        <v>0</v>
      </c>
      <c r="K10" s="297">
        <v>24</v>
      </c>
      <c r="L10" s="294" t="s">
        <v>392</v>
      </c>
    </row>
    <row r="11" spans="1:12" ht="31.2" thickBot="1">
      <c r="A11">
        <v>9</v>
      </c>
      <c r="B11" s="293" t="s">
        <v>415</v>
      </c>
      <c r="C11" s="294" t="s">
        <v>419</v>
      </c>
      <c r="D11" s="294" t="s">
        <v>417</v>
      </c>
      <c r="E11" s="294" t="s">
        <v>420</v>
      </c>
      <c r="F11" s="294" t="s">
        <v>241</v>
      </c>
      <c r="G11" s="298">
        <v>81000</v>
      </c>
      <c r="H11" s="299">
        <v>40500</v>
      </c>
      <c r="I11" s="295">
        <v>40500</v>
      </c>
      <c r="J11" s="299">
        <v>40500</v>
      </c>
      <c r="K11" s="297">
        <v>24</v>
      </c>
      <c r="L11" s="294" t="s">
        <v>392</v>
      </c>
    </row>
    <row r="12" spans="1:12" ht="31.2" thickBot="1">
      <c r="A12">
        <v>10</v>
      </c>
      <c r="B12" s="293" t="s">
        <v>415</v>
      </c>
      <c r="C12" s="294" t="s">
        <v>421</v>
      </c>
      <c r="D12" s="294" t="s">
        <v>422</v>
      </c>
      <c r="E12" s="294" t="s">
        <v>423</v>
      </c>
      <c r="F12" s="294" t="s">
        <v>243</v>
      </c>
      <c r="G12" s="298">
        <v>159900</v>
      </c>
      <c r="H12" s="299">
        <v>79950</v>
      </c>
      <c r="I12" s="295">
        <v>79950</v>
      </c>
      <c r="J12" s="299">
        <v>79950</v>
      </c>
      <c r="K12" s="297">
        <v>24</v>
      </c>
      <c r="L12" s="294" t="s">
        <v>392</v>
      </c>
    </row>
    <row r="13" spans="1:12" ht="31.2" thickBot="1">
      <c r="A13">
        <v>11</v>
      </c>
      <c r="B13" s="293" t="s">
        <v>415</v>
      </c>
      <c r="C13" s="294" t="s">
        <v>424</v>
      </c>
      <c r="D13" s="294" t="s">
        <v>425</v>
      </c>
      <c r="E13" s="294" t="s">
        <v>426</v>
      </c>
      <c r="F13" s="294" t="s">
        <v>240</v>
      </c>
      <c r="G13" s="298">
        <v>33400</v>
      </c>
      <c r="H13" s="299">
        <v>13923.07</v>
      </c>
      <c r="I13" s="295">
        <v>19476.93</v>
      </c>
      <c r="J13" s="297">
        <v>0</v>
      </c>
      <c r="K13" s="297">
        <v>24</v>
      </c>
      <c r="L13" s="294" t="s">
        <v>392</v>
      </c>
    </row>
    <row r="14" spans="1:12" ht="31.2" thickBot="1">
      <c r="A14">
        <v>12</v>
      </c>
      <c r="B14" s="293" t="s">
        <v>427</v>
      </c>
      <c r="C14" s="294" t="s">
        <v>428</v>
      </c>
      <c r="D14" s="294" t="s">
        <v>390</v>
      </c>
      <c r="E14" s="294" t="s">
        <v>429</v>
      </c>
      <c r="F14" s="294" t="s">
        <v>235</v>
      </c>
      <c r="G14" s="298">
        <v>101809.99</v>
      </c>
      <c r="H14" s="299">
        <v>50904.22</v>
      </c>
      <c r="I14" s="295">
        <v>50905.77</v>
      </c>
      <c r="J14" s="297">
        <v>0</v>
      </c>
      <c r="K14" s="297">
        <v>24</v>
      </c>
      <c r="L14" s="294" t="s">
        <v>401</v>
      </c>
    </row>
    <row r="15" spans="1:12" ht="41.4" thickBot="1">
      <c r="A15">
        <v>13</v>
      </c>
      <c r="B15" s="293" t="s">
        <v>430</v>
      </c>
      <c r="C15" s="294" t="s">
        <v>431</v>
      </c>
      <c r="D15" s="294" t="s">
        <v>432</v>
      </c>
      <c r="E15" s="294" t="s">
        <v>433</v>
      </c>
      <c r="F15" s="294" t="s">
        <v>287</v>
      </c>
      <c r="G15" s="298">
        <v>159000</v>
      </c>
      <c r="H15" s="299">
        <v>79500</v>
      </c>
      <c r="I15" s="295">
        <v>79500</v>
      </c>
      <c r="J15" s="297">
        <v>0</v>
      </c>
      <c r="K15" s="297">
        <v>24</v>
      </c>
      <c r="L15" s="294" t="s">
        <v>392</v>
      </c>
    </row>
    <row r="16" spans="1:12" ht="31.2" thickBot="1">
      <c r="A16">
        <v>14</v>
      </c>
      <c r="B16" s="293" t="s">
        <v>434</v>
      </c>
      <c r="C16" s="294" t="s">
        <v>435</v>
      </c>
      <c r="D16" s="294" t="s">
        <v>436</v>
      </c>
      <c r="E16" s="294" t="s">
        <v>437</v>
      </c>
      <c r="F16" s="294" t="s">
        <v>244</v>
      </c>
      <c r="G16" s="295">
        <v>77618.5</v>
      </c>
      <c r="H16" s="296">
        <v>38809.25</v>
      </c>
      <c r="I16" s="295">
        <v>38809.25</v>
      </c>
      <c r="J16" s="299">
        <v>38809.25</v>
      </c>
      <c r="K16" s="297">
        <v>24</v>
      </c>
      <c r="L16" s="294" t="s">
        <v>392</v>
      </c>
    </row>
    <row r="17" spans="1:12" ht="31.2" thickBot="1">
      <c r="A17">
        <v>15</v>
      </c>
      <c r="B17" s="293" t="s">
        <v>438</v>
      </c>
      <c r="C17" s="294" t="s">
        <v>439</v>
      </c>
      <c r="D17" s="294" t="s">
        <v>417</v>
      </c>
      <c r="E17" s="294" t="s">
        <v>440</v>
      </c>
      <c r="F17" s="294" t="s">
        <v>441</v>
      </c>
      <c r="G17" s="295">
        <v>46308.7</v>
      </c>
      <c r="H17" s="296">
        <v>18697.73</v>
      </c>
      <c r="I17" s="295">
        <v>27610.97</v>
      </c>
      <c r="J17" s="299">
        <v>18697.73</v>
      </c>
      <c r="K17" s="297">
        <v>24</v>
      </c>
      <c r="L17" s="294" t="s">
        <v>392</v>
      </c>
    </row>
    <row r="18" spans="1:12" ht="31.2" thickBot="1">
      <c r="A18">
        <v>16</v>
      </c>
      <c r="B18" s="293" t="s">
        <v>442</v>
      </c>
      <c r="C18" s="294" t="s">
        <v>443</v>
      </c>
      <c r="D18" s="294" t="s">
        <v>444</v>
      </c>
      <c r="E18" s="294" t="s">
        <v>445</v>
      </c>
      <c r="F18" s="294" t="s">
        <v>238</v>
      </c>
      <c r="G18" s="295">
        <v>145794.76999999999</v>
      </c>
      <c r="H18" s="299">
        <v>72897.37</v>
      </c>
      <c r="I18" s="295">
        <v>72897.399999999994</v>
      </c>
      <c r="J18" s="297">
        <v>0</v>
      </c>
      <c r="K18" s="297">
        <v>36</v>
      </c>
      <c r="L18" s="294" t="s">
        <v>392</v>
      </c>
    </row>
    <row r="19" spans="1:12" ht="15" thickBot="1">
      <c r="B19" s="289"/>
      <c r="C19" s="291"/>
      <c r="D19" s="294"/>
      <c r="E19" s="294"/>
      <c r="F19" s="294"/>
      <c r="G19" s="298">
        <v>1698518.33</v>
      </c>
      <c r="H19" s="299">
        <v>809582.58</v>
      </c>
      <c r="I19" s="298">
        <v>888935.75</v>
      </c>
      <c r="J19" s="299">
        <v>270346.21999999997</v>
      </c>
      <c r="K19" s="297"/>
      <c r="L19" s="294"/>
    </row>
    <row r="20" spans="1:12" ht="15" thickBot="1">
      <c r="B20" s="289" t="s">
        <v>387</v>
      </c>
      <c r="C20" s="290" t="s">
        <v>446</v>
      </c>
      <c r="D20" s="294"/>
      <c r="E20" s="294"/>
      <c r="F20" s="294"/>
      <c r="G20" s="300"/>
      <c r="H20" s="301"/>
      <c r="I20" s="300"/>
      <c r="J20" s="301"/>
      <c r="K20" s="297"/>
      <c r="L20" s="294"/>
    </row>
    <row r="21" spans="1:12" ht="51.6" thickBot="1">
      <c r="A21">
        <v>3</v>
      </c>
      <c r="B21" s="302" t="s">
        <v>447</v>
      </c>
      <c r="C21" s="303" t="s">
        <v>448</v>
      </c>
      <c r="D21" s="303" t="s">
        <v>390</v>
      </c>
      <c r="E21" s="303" t="s">
        <v>449</v>
      </c>
      <c r="F21" s="303" t="s">
        <v>251</v>
      </c>
      <c r="G21" s="304">
        <v>83200</v>
      </c>
      <c r="H21" s="305">
        <v>41600</v>
      </c>
      <c r="I21" s="304">
        <v>41600</v>
      </c>
      <c r="J21" s="306">
        <v>0</v>
      </c>
      <c r="K21" s="306">
        <v>24</v>
      </c>
      <c r="L21" s="303" t="s">
        <v>401</v>
      </c>
    </row>
    <row r="22" spans="1:12" ht="15" thickBot="1">
      <c r="B22" s="307"/>
      <c r="C22" s="308"/>
      <c r="D22" s="308"/>
      <c r="E22" s="308"/>
      <c r="F22" s="308"/>
      <c r="G22" s="309">
        <v>83200</v>
      </c>
      <c r="H22" s="310">
        <v>41600</v>
      </c>
      <c r="I22" s="309">
        <v>41600</v>
      </c>
      <c r="J22" s="311">
        <v>0</v>
      </c>
      <c r="K22" s="312"/>
      <c r="L22" s="308"/>
    </row>
    <row r="23" spans="1:12" ht="15" thickBot="1">
      <c r="B23" s="289" t="s">
        <v>387</v>
      </c>
      <c r="C23" s="290" t="s">
        <v>301</v>
      </c>
      <c r="D23" s="308"/>
      <c r="E23" s="308"/>
      <c r="F23" s="308"/>
      <c r="G23" s="313"/>
      <c r="H23" s="311"/>
      <c r="I23" s="313"/>
      <c r="J23" s="311"/>
      <c r="K23" s="312"/>
      <c r="L23" s="308"/>
    </row>
    <row r="24" spans="1:12" ht="30.6">
      <c r="B24" s="636" t="s">
        <v>450</v>
      </c>
      <c r="C24" s="636" t="s">
        <v>451</v>
      </c>
      <c r="D24" s="636" t="s">
        <v>390</v>
      </c>
      <c r="E24" s="636" t="s">
        <v>452</v>
      </c>
      <c r="F24" s="314" t="s">
        <v>453</v>
      </c>
      <c r="G24" s="632">
        <v>88500</v>
      </c>
      <c r="H24" s="638">
        <v>61950</v>
      </c>
      <c r="I24" s="632">
        <v>26550</v>
      </c>
      <c r="J24" s="634">
        <v>0</v>
      </c>
      <c r="K24" s="634">
        <v>18</v>
      </c>
      <c r="L24" s="636" t="s">
        <v>392</v>
      </c>
    </row>
    <row r="25" spans="1:12" ht="15" thickBot="1">
      <c r="B25" s="637"/>
      <c r="C25" s="637"/>
      <c r="D25" s="637"/>
      <c r="E25" s="637"/>
      <c r="F25" s="315" t="s">
        <v>454</v>
      </c>
      <c r="G25" s="633"/>
      <c r="H25" s="639"/>
      <c r="I25" s="633"/>
      <c r="J25" s="635"/>
      <c r="K25" s="635"/>
      <c r="L25" s="637"/>
    </row>
    <row r="26" spans="1:12" ht="41.4" thickBot="1">
      <c r="B26" s="316" t="s">
        <v>455</v>
      </c>
      <c r="C26" s="315" t="s">
        <v>456</v>
      </c>
      <c r="D26" s="315" t="s">
        <v>390</v>
      </c>
      <c r="E26" s="315" t="s">
        <v>457</v>
      </c>
      <c r="F26" s="315" t="s">
        <v>327</v>
      </c>
      <c r="G26" s="317">
        <v>15312</v>
      </c>
      <c r="H26" s="318">
        <v>10718.4</v>
      </c>
      <c r="I26" s="317">
        <v>4593.6000000000004</v>
      </c>
      <c r="J26" s="318">
        <v>10718.4</v>
      </c>
      <c r="K26" s="319">
        <v>18</v>
      </c>
      <c r="L26" s="315" t="s">
        <v>392</v>
      </c>
    </row>
    <row r="27" spans="1:12" ht="41.4" thickBot="1">
      <c r="B27" s="316" t="s">
        <v>458</v>
      </c>
      <c r="C27" s="315" t="s">
        <v>459</v>
      </c>
      <c r="D27" s="315" t="s">
        <v>390</v>
      </c>
      <c r="E27" s="315" t="s">
        <v>460</v>
      </c>
      <c r="F27" s="315" t="s">
        <v>299</v>
      </c>
      <c r="G27" s="317">
        <v>29899.8</v>
      </c>
      <c r="H27" s="318">
        <v>20929.86</v>
      </c>
      <c r="I27" s="317">
        <v>8969.94</v>
      </c>
      <c r="J27" s="319">
        <v>0</v>
      </c>
      <c r="K27" s="319">
        <v>20</v>
      </c>
      <c r="L27" s="315" t="s">
        <v>392</v>
      </c>
    </row>
    <row r="28" spans="1:12" ht="102.6" thickBot="1">
      <c r="B28" s="316" t="s">
        <v>461</v>
      </c>
      <c r="C28" s="315" t="s">
        <v>462</v>
      </c>
      <c r="D28" s="315" t="s">
        <v>408</v>
      </c>
      <c r="E28" s="315" t="s">
        <v>463</v>
      </c>
      <c r="F28" s="315" t="s">
        <v>262</v>
      </c>
      <c r="G28" s="317">
        <v>189090</v>
      </c>
      <c r="H28" s="318">
        <v>132363</v>
      </c>
      <c r="I28" s="317">
        <v>56727</v>
      </c>
      <c r="J28" s="319">
        <v>0</v>
      </c>
      <c r="K28" s="319">
        <v>19</v>
      </c>
      <c r="L28" s="315" t="s">
        <v>392</v>
      </c>
    </row>
    <row r="29" spans="1:12" ht="15" thickBot="1">
      <c r="B29" s="316"/>
      <c r="C29" s="315"/>
      <c r="D29" s="315"/>
      <c r="E29" s="315"/>
      <c r="F29" s="315"/>
      <c r="G29" s="320">
        <v>322801.8</v>
      </c>
      <c r="H29" s="321">
        <v>225961.26</v>
      </c>
      <c r="I29" s="320">
        <v>96840.54</v>
      </c>
      <c r="J29" s="321">
        <v>10718.4</v>
      </c>
      <c r="K29" s="319"/>
      <c r="L29" s="315"/>
    </row>
    <row r="30" spans="1:12" ht="15" thickBot="1">
      <c r="B30" s="289" t="s">
        <v>387</v>
      </c>
      <c r="C30" s="290" t="s">
        <v>302</v>
      </c>
      <c r="D30" s="315"/>
      <c r="E30" s="315"/>
      <c r="F30" s="315"/>
      <c r="G30" s="322"/>
      <c r="H30" s="323"/>
      <c r="I30" s="322"/>
      <c r="J30" s="323"/>
      <c r="K30" s="319"/>
      <c r="L30" s="315"/>
    </row>
    <row r="31" spans="1:12" ht="51.6" thickBot="1">
      <c r="B31" s="324" t="s">
        <v>464</v>
      </c>
      <c r="C31" s="325" t="s">
        <v>465</v>
      </c>
      <c r="D31" s="325" t="s">
        <v>390</v>
      </c>
      <c r="E31" s="325" t="s">
        <v>466</v>
      </c>
      <c r="F31" s="325" t="s">
        <v>256</v>
      </c>
      <c r="G31" s="326">
        <v>271908.46000000002</v>
      </c>
      <c r="H31" s="327">
        <v>271908.46000000002</v>
      </c>
      <c r="I31" s="328">
        <v>0</v>
      </c>
      <c r="J31" s="327">
        <v>135954.22</v>
      </c>
      <c r="K31" s="329">
        <v>24</v>
      </c>
      <c r="L31" s="325" t="s">
        <v>392</v>
      </c>
    </row>
    <row r="32" spans="1:12" ht="31.2" thickBot="1">
      <c r="B32" s="324" t="s">
        <v>464</v>
      </c>
      <c r="C32" s="325" t="s">
        <v>465</v>
      </c>
      <c r="D32" s="325" t="s">
        <v>390</v>
      </c>
      <c r="E32" s="325" t="s">
        <v>467</v>
      </c>
      <c r="F32" s="325" t="s">
        <v>257</v>
      </c>
      <c r="G32" s="326">
        <v>101391.5</v>
      </c>
      <c r="H32" s="327">
        <v>101391.5</v>
      </c>
      <c r="I32" s="328">
        <v>0</v>
      </c>
      <c r="J32" s="327">
        <v>50695.75</v>
      </c>
      <c r="K32" s="329">
        <v>24</v>
      </c>
      <c r="L32" s="325" t="s">
        <v>392</v>
      </c>
    </row>
    <row r="33" spans="2:12" ht="31.2" thickBot="1">
      <c r="B33" s="324" t="s">
        <v>464</v>
      </c>
      <c r="C33" s="325" t="s">
        <v>468</v>
      </c>
      <c r="D33" s="325" t="s">
        <v>399</v>
      </c>
      <c r="E33" s="325" t="s">
        <v>469</v>
      </c>
      <c r="F33" s="325" t="s">
        <v>259</v>
      </c>
      <c r="G33" s="326">
        <v>243884.5</v>
      </c>
      <c r="H33" s="327">
        <v>243884.5</v>
      </c>
      <c r="I33" s="328">
        <v>0</v>
      </c>
      <c r="J33" s="327">
        <v>121942.24</v>
      </c>
      <c r="K33" s="329">
        <v>24</v>
      </c>
      <c r="L33" s="325" t="s">
        <v>392</v>
      </c>
    </row>
    <row r="34" spans="2:12" ht="31.2" thickBot="1">
      <c r="B34" s="324" t="s">
        <v>464</v>
      </c>
      <c r="C34" s="325" t="s">
        <v>465</v>
      </c>
      <c r="D34" s="325" t="s">
        <v>470</v>
      </c>
      <c r="E34" s="325" t="s">
        <v>471</v>
      </c>
      <c r="F34" s="325" t="s">
        <v>258</v>
      </c>
      <c r="G34" s="326">
        <v>169387.71</v>
      </c>
      <c r="H34" s="327">
        <v>169387.71</v>
      </c>
      <c r="I34" s="328">
        <v>0</v>
      </c>
      <c r="J34" s="329">
        <v>0</v>
      </c>
      <c r="K34" s="329">
        <v>24</v>
      </c>
      <c r="L34" s="325" t="s">
        <v>392</v>
      </c>
    </row>
    <row r="35" spans="2:12" ht="41.4" thickBot="1">
      <c r="B35" s="324" t="s">
        <v>472</v>
      </c>
      <c r="C35" s="325" t="s">
        <v>473</v>
      </c>
      <c r="D35" s="325" t="s">
        <v>474</v>
      </c>
      <c r="E35" s="325" t="s">
        <v>475</v>
      </c>
      <c r="F35" s="325" t="s">
        <v>255</v>
      </c>
      <c r="G35" s="326">
        <v>137255.26</v>
      </c>
      <c r="H35" s="327">
        <v>137255.26</v>
      </c>
      <c r="I35" s="328">
        <v>0</v>
      </c>
      <c r="J35" s="327">
        <v>130873.76</v>
      </c>
      <c r="K35" s="329">
        <v>36</v>
      </c>
      <c r="L35" s="325" t="s">
        <v>392</v>
      </c>
    </row>
    <row r="36" spans="2:12" ht="31.2" thickBot="1">
      <c r="B36" s="324" t="s">
        <v>472</v>
      </c>
      <c r="C36" s="325" t="s">
        <v>476</v>
      </c>
      <c r="D36" s="325" t="s">
        <v>417</v>
      </c>
      <c r="E36" s="325" t="s">
        <v>477</v>
      </c>
      <c r="F36" s="325" t="s">
        <v>260</v>
      </c>
      <c r="G36" s="326">
        <v>181252.87</v>
      </c>
      <c r="H36" s="327">
        <v>181252.87</v>
      </c>
      <c r="I36" s="328">
        <v>0</v>
      </c>
      <c r="J36" s="327">
        <v>90626.43</v>
      </c>
      <c r="K36" s="329">
        <v>21</v>
      </c>
      <c r="L36" s="325" t="s">
        <v>392</v>
      </c>
    </row>
    <row r="37" spans="2:12" ht="15" thickBot="1">
      <c r="B37" s="324"/>
      <c r="C37" s="325"/>
      <c r="D37" s="325"/>
      <c r="E37" s="325"/>
      <c r="F37" s="325"/>
      <c r="G37" s="330">
        <v>1105080.3</v>
      </c>
      <c r="H37" s="331">
        <v>1105080.3</v>
      </c>
      <c r="I37" s="332">
        <v>0</v>
      </c>
      <c r="J37" s="331">
        <v>530092.4</v>
      </c>
      <c r="K37" s="329"/>
      <c r="L37" s="325"/>
    </row>
    <row r="38" spans="2:12" ht="15" thickBot="1">
      <c r="B38" s="289" t="s">
        <v>387</v>
      </c>
      <c r="C38" s="333" t="s">
        <v>478</v>
      </c>
      <c r="D38" s="315"/>
      <c r="E38" s="315"/>
      <c r="F38" s="315"/>
      <c r="G38" s="322"/>
      <c r="H38" s="323"/>
      <c r="I38" s="322"/>
      <c r="J38" s="323"/>
      <c r="K38" s="319"/>
      <c r="L38" s="315"/>
    </row>
    <row r="39" spans="2:12" ht="31.2" thickBot="1">
      <c r="B39" s="334" t="s">
        <v>472</v>
      </c>
      <c r="C39" s="335" t="s">
        <v>476</v>
      </c>
      <c r="D39" s="335" t="s">
        <v>417</v>
      </c>
      <c r="E39" s="335" t="s">
        <v>479</v>
      </c>
      <c r="F39" s="335" t="s">
        <v>306</v>
      </c>
      <c r="G39" s="336">
        <v>27140</v>
      </c>
      <c r="H39" s="337">
        <v>27140</v>
      </c>
      <c r="I39" s="338">
        <v>0</v>
      </c>
      <c r="J39" s="339">
        <v>0</v>
      </c>
      <c r="K39" s="339">
        <v>12</v>
      </c>
      <c r="L39" s="335" t="s">
        <v>392</v>
      </c>
    </row>
    <row r="40" spans="2:12" ht="15" thickBot="1">
      <c r="B40" s="340"/>
      <c r="C40" s="341"/>
      <c r="D40" s="341"/>
      <c r="E40" s="341"/>
      <c r="F40" s="341"/>
      <c r="G40" s="342">
        <v>27140</v>
      </c>
      <c r="H40" s="343">
        <v>27140</v>
      </c>
      <c r="I40" s="344">
        <v>0</v>
      </c>
      <c r="J40" s="345">
        <v>0</v>
      </c>
      <c r="K40" s="346"/>
      <c r="L40" s="341"/>
    </row>
    <row r="41" spans="2:12" ht="15" thickBot="1">
      <c r="B41" s="347"/>
      <c r="C41" s="347"/>
      <c r="D41" s="347"/>
      <c r="E41" s="347"/>
      <c r="F41" s="347"/>
      <c r="G41" s="348">
        <v>3236740.43</v>
      </c>
      <c r="H41" s="349">
        <v>2209364.14</v>
      </c>
      <c r="I41" s="349">
        <v>1027376.29</v>
      </c>
      <c r="J41" s="349">
        <v>811157.02</v>
      </c>
      <c r="K41" s="350"/>
      <c r="L41" s="350"/>
    </row>
  </sheetData>
  <mergeCells count="10">
    <mergeCell ref="I24:I25"/>
    <mergeCell ref="J24:J25"/>
    <mergeCell ref="K24:K25"/>
    <mergeCell ref="L24:L25"/>
    <mergeCell ref="B24:B25"/>
    <mergeCell ref="C24:C25"/>
    <mergeCell ref="D24:D25"/>
    <mergeCell ref="E24:E25"/>
    <mergeCell ref="G24:G25"/>
    <mergeCell ref="H24:H2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4"/>
  <sheetViews>
    <sheetView topLeftCell="I28" zoomScale="80" zoomScaleNormal="80" workbookViewId="0">
      <selection activeCell="AA37" sqref="AA37"/>
    </sheetView>
  </sheetViews>
  <sheetFormatPr defaultColWidth="9.109375" defaultRowHeight="55.5" customHeight="1"/>
  <cols>
    <col min="1" max="4" width="9.109375" style="65"/>
    <col min="5" max="5" width="14.5546875" style="173" customWidth="1"/>
    <col min="6" max="6" width="23.109375" style="65" customWidth="1"/>
    <col min="7" max="7" width="16.109375" style="65" customWidth="1"/>
    <col min="8" max="8" width="13" style="65" customWidth="1"/>
    <col min="9" max="9" width="16.5546875" style="65" customWidth="1"/>
    <col min="10" max="10" width="12.5546875" style="65" customWidth="1"/>
    <col min="11" max="11" width="13.5546875" style="65" customWidth="1"/>
    <col min="12" max="12" width="13.33203125" style="65" customWidth="1"/>
    <col min="13" max="13" width="12.44140625" style="65" customWidth="1"/>
    <col min="14" max="14" width="16.6640625" style="107" customWidth="1"/>
    <col min="15" max="15" width="17.109375" style="65" customWidth="1"/>
    <col min="16" max="16" width="17.109375" style="107" customWidth="1"/>
    <col min="17" max="18" width="11.33203125" style="65" customWidth="1"/>
    <col min="19" max="19" width="9.33203125" style="65" customWidth="1"/>
    <col min="20" max="16384" width="9.109375" style="65"/>
  </cols>
  <sheetData>
    <row r="1" spans="1:22" ht="55.5" customHeight="1" thickBot="1">
      <c r="E1" s="630" t="s">
        <v>234</v>
      </c>
      <c r="F1" s="630"/>
      <c r="G1" s="630"/>
      <c r="H1" s="630"/>
      <c r="I1" s="630"/>
      <c r="J1" s="630"/>
      <c r="K1" s="630"/>
      <c r="L1" s="630"/>
      <c r="M1" s="630"/>
      <c r="N1" s="630"/>
      <c r="O1" s="630"/>
      <c r="P1" s="630"/>
      <c r="Q1" s="630"/>
      <c r="R1" s="80"/>
    </row>
    <row r="2" spans="1:22" ht="55.5" customHeight="1">
      <c r="E2" s="656" t="s">
        <v>43</v>
      </c>
      <c r="F2" s="532" t="s">
        <v>226</v>
      </c>
      <c r="G2" s="532" t="s">
        <v>227</v>
      </c>
      <c r="H2" s="532" t="s">
        <v>224</v>
      </c>
      <c r="I2" s="532" t="s">
        <v>331</v>
      </c>
      <c r="J2" s="532" t="s">
        <v>77</v>
      </c>
      <c r="K2" s="532" t="s">
        <v>78</v>
      </c>
      <c r="L2" s="532" t="s">
        <v>79</v>
      </c>
      <c r="M2" s="532" t="s">
        <v>80</v>
      </c>
      <c r="N2" s="532" t="s">
        <v>231</v>
      </c>
      <c r="O2" s="30" t="s">
        <v>232</v>
      </c>
      <c r="P2" s="81"/>
      <c r="Q2" s="583" t="s">
        <v>83</v>
      </c>
      <c r="R2" s="650" t="s">
        <v>336</v>
      </c>
    </row>
    <row r="3" spans="1:22" ht="55.5" customHeight="1" thickBot="1">
      <c r="A3" s="65" t="s">
        <v>337</v>
      </c>
      <c r="B3" s="65" t="s">
        <v>208</v>
      </c>
      <c r="C3" s="65" t="s">
        <v>274</v>
      </c>
      <c r="D3" s="65" t="s">
        <v>273</v>
      </c>
      <c r="E3" s="657"/>
      <c r="F3" s="533"/>
      <c r="G3" s="533"/>
      <c r="H3" s="533"/>
      <c r="I3" s="533"/>
      <c r="J3" s="533"/>
      <c r="K3" s="533"/>
      <c r="L3" s="533"/>
      <c r="M3" s="533"/>
      <c r="N3" s="533"/>
      <c r="O3" s="31" t="s">
        <v>233</v>
      </c>
      <c r="P3" s="82"/>
      <c r="Q3" s="584"/>
      <c r="R3" s="651"/>
    </row>
    <row r="4" spans="1:22" ht="20.25" customHeight="1">
      <c r="E4" s="83">
        <v>1</v>
      </c>
      <c r="F4" s="84">
        <v>2</v>
      </c>
      <c r="G4" s="84">
        <v>3</v>
      </c>
      <c r="H4" s="84">
        <v>4</v>
      </c>
      <c r="I4" s="84">
        <v>5</v>
      </c>
      <c r="J4" s="84">
        <v>7</v>
      </c>
      <c r="K4" s="84">
        <v>8</v>
      </c>
      <c r="L4" s="84">
        <v>11</v>
      </c>
      <c r="M4" s="84">
        <v>12</v>
      </c>
      <c r="N4" s="85">
        <v>13</v>
      </c>
      <c r="O4" s="84">
        <v>14</v>
      </c>
      <c r="P4" s="86"/>
      <c r="Q4" s="87">
        <v>15</v>
      </c>
      <c r="R4" s="88"/>
    </row>
    <row r="5" spans="1:22" ht="60.75" customHeight="1">
      <c r="E5" s="89" t="s">
        <v>59</v>
      </c>
      <c r="F5" s="71"/>
      <c r="G5" s="71"/>
      <c r="H5" s="71"/>
      <c r="I5" s="71"/>
      <c r="J5" s="71"/>
      <c r="K5" s="71"/>
      <c r="L5" s="71"/>
      <c r="M5" s="71"/>
      <c r="N5" s="78"/>
      <c r="O5" s="71"/>
      <c r="P5" s="91"/>
      <c r="Q5" s="92"/>
      <c r="R5" s="71"/>
    </row>
    <row r="6" spans="1:22" ht="62.25" customHeight="1">
      <c r="E6" s="93" t="s">
        <v>69</v>
      </c>
      <c r="F6" s="94">
        <v>1018400</v>
      </c>
      <c r="G6" s="75"/>
      <c r="H6" s="75">
        <f>SUM(H7:H29)</f>
        <v>2013160.6599999997</v>
      </c>
      <c r="I6" s="75">
        <f t="shared" ref="I6:N6" si="0">SUM(I7:I29)</f>
        <v>967891.26</v>
      </c>
      <c r="J6" s="75">
        <f t="shared" si="0"/>
        <v>1863660.6599999997</v>
      </c>
      <c r="K6" s="75">
        <f t="shared" si="0"/>
        <v>908091.26</v>
      </c>
      <c r="L6" s="75">
        <f t="shared" si="0"/>
        <v>1863660.6599999997</v>
      </c>
      <c r="M6" s="95">
        <f>SUM(M7:M29)</f>
        <v>908091.26</v>
      </c>
      <c r="N6" s="75">
        <f t="shared" si="0"/>
        <v>1828850.96</v>
      </c>
      <c r="O6" s="75">
        <f>SUM(O7:O29)</f>
        <v>884313.0199999999</v>
      </c>
      <c r="P6" s="75"/>
      <c r="Q6" s="75">
        <f>SUM(Q7:Q29)</f>
        <v>270345.62</v>
      </c>
      <c r="R6" s="95">
        <f>F6-(O6+I29)</f>
        <v>74286.980000000098</v>
      </c>
    </row>
    <row r="7" spans="1:22" ht="62.25" customHeight="1">
      <c r="E7" s="96"/>
      <c r="F7" s="652" t="s">
        <v>280</v>
      </c>
      <c r="G7" s="653"/>
      <c r="H7" s="97"/>
      <c r="I7" s="97"/>
      <c r="J7" s="97"/>
      <c r="K7" s="97"/>
      <c r="L7" s="97"/>
      <c r="M7" s="97"/>
      <c r="N7" s="97"/>
      <c r="O7" s="97"/>
      <c r="P7" s="98"/>
      <c r="Q7" s="99"/>
      <c r="R7" s="97"/>
    </row>
    <row r="8" spans="1:22" ht="65.25" hidden="1" customHeight="1">
      <c r="E8" s="89"/>
      <c r="F8" s="100" t="s">
        <v>309</v>
      </c>
      <c r="G8" s="100" t="s">
        <v>238</v>
      </c>
      <c r="H8" s="101"/>
      <c r="I8" s="101"/>
      <c r="J8" s="101"/>
      <c r="K8" s="101"/>
      <c r="L8" s="101">
        <v>0</v>
      </c>
      <c r="M8" s="101">
        <v>0</v>
      </c>
      <c r="N8" s="102">
        <v>0</v>
      </c>
      <c r="O8" s="101">
        <v>0</v>
      </c>
      <c r="P8" s="103"/>
      <c r="Q8" s="104">
        <v>0</v>
      </c>
      <c r="R8" s="105"/>
    </row>
    <row r="9" spans="1:22" ht="55.5" customHeight="1">
      <c r="A9" s="65">
        <v>1</v>
      </c>
      <c r="E9" s="117">
        <v>1</v>
      </c>
      <c r="F9" s="178" t="s">
        <v>281</v>
      </c>
      <c r="G9" s="121" t="s">
        <v>235</v>
      </c>
      <c r="H9" s="121">
        <v>101810</v>
      </c>
      <c r="I9" s="121">
        <v>50905</v>
      </c>
      <c r="J9" s="121">
        <v>101810</v>
      </c>
      <c r="K9" s="121">
        <v>50905</v>
      </c>
      <c r="L9" s="121">
        <v>101810</v>
      </c>
      <c r="M9" s="121">
        <v>50905</v>
      </c>
      <c r="N9" s="121">
        <v>101810</v>
      </c>
      <c r="O9" s="179">
        <v>50905</v>
      </c>
      <c r="P9" s="180"/>
      <c r="Q9" s="181">
        <v>0</v>
      </c>
      <c r="R9" s="121"/>
      <c r="S9" s="65" t="s">
        <v>338</v>
      </c>
      <c r="V9" s="72">
        <v>50905</v>
      </c>
    </row>
    <row r="10" spans="1:22" ht="55.5" customHeight="1">
      <c r="A10" s="65">
        <v>1</v>
      </c>
      <c r="E10" s="117">
        <v>2</v>
      </c>
      <c r="F10" s="178" t="s">
        <v>312</v>
      </c>
      <c r="G10" s="121" t="s">
        <v>236</v>
      </c>
      <c r="H10" s="121">
        <v>155307.22999999998</v>
      </c>
      <c r="I10" s="121">
        <v>77653.62</v>
      </c>
      <c r="J10" s="121">
        <v>155307.22999999998</v>
      </c>
      <c r="K10" s="121">
        <v>77653.62</v>
      </c>
      <c r="L10" s="121">
        <v>155307.22999999998</v>
      </c>
      <c r="M10" s="121">
        <v>77653.62</v>
      </c>
      <c r="N10" s="121">
        <v>155307.22999999998</v>
      </c>
      <c r="O10" s="179">
        <v>77653.62</v>
      </c>
      <c r="P10" s="180"/>
      <c r="Q10" s="181">
        <v>0</v>
      </c>
      <c r="R10" s="121"/>
      <c r="S10" s="65" t="s">
        <v>338</v>
      </c>
      <c r="V10" s="72">
        <v>77653.62</v>
      </c>
    </row>
    <row r="11" spans="1:22" ht="55.5" customHeight="1">
      <c r="A11" s="65">
        <v>1</v>
      </c>
      <c r="E11" s="117">
        <v>3</v>
      </c>
      <c r="F11" s="182" t="s">
        <v>313</v>
      </c>
      <c r="G11" s="119" t="s">
        <v>237</v>
      </c>
      <c r="H11" s="119">
        <v>65834.539999999994</v>
      </c>
      <c r="I11" s="119">
        <v>32917.269999999997</v>
      </c>
      <c r="J11" s="119">
        <v>65834.539999999994</v>
      </c>
      <c r="K11" s="119">
        <v>32917.269999999997</v>
      </c>
      <c r="L11" s="119">
        <f>J11</f>
        <v>65834.539999999994</v>
      </c>
      <c r="M11" s="119">
        <f>K11</f>
        <v>32917.269999999997</v>
      </c>
      <c r="N11" s="120">
        <v>48905.81</v>
      </c>
      <c r="O11" s="119">
        <v>24452.9</v>
      </c>
      <c r="P11" s="183">
        <f>N11-O11</f>
        <v>24452.909999999996</v>
      </c>
      <c r="Q11" s="181">
        <v>2200</v>
      </c>
      <c r="R11" s="121"/>
    </row>
    <row r="12" spans="1:22" ht="55.5" customHeight="1">
      <c r="D12" s="65">
        <v>1</v>
      </c>
      <c r="E12" s="185">
        <v>4</v>
      </c>
      <c r="F12" s="186" t="s">
        <v>309</v>
      </c>
      <c r="G12" s="187" t="s">
        <v>238</v>
      </c>
      <c r="H12" s="187">
        <v>145794.76999999999</v>
      </c>
      <c r="I12" s="187">
        <v>72897.37</v>
      </c>
      <c r="J12" s="187">
        <v>145794.76999999999</v>
      </c>
      <c r="K12" s="187">
        <v>72897.37</v>
      </c>
      <c r="L12" s="187">
        <f>J12</f>
        <v>145794.76999999999</v>
      </c>
      <c r="M12" s="187">
        <f>K12</f>
        <v>72897.37</v>
      </c>
      <c r="N12" s="188">
        <v>145794.76999999999</v>
      </c>
      <c r="O12" s="187">
        <v>72897.37</v>
      </c>
      <c r="P12" s="189">
        <f t="shared" ref="P12:P29" si="1">N12-O12</f>
        <v>72897.399999999994</v>
      </c>
      <c r="Q12" s="190">
        <v>0</v>
      </c>
      <c r="R12" s="191"/>
    </row>
    <row r="13" spans="1:22" ht="55.5" customHeight="1">
      <c r="A13" s="65">
        <v>1</v>
      </c>
      <c r="E13" s="117">
        <v>5</v>
      </c>
      <c r="F13" s="178" t="s">
        <v>314</v>
      </c>
      <c r="G13" s="121" t="s">
        <v>239</v>
      </c>
      <c r="H13" s="121">
        <v>105960</v>
      </c>
      <c r="I13" s="121">
        <v>42384</v>
      </c>
      <c r="J13" s="121">
        <v>105960</v>
      </c>
      <c r="K13" s="121">
        <v>42384</v>
      </c>
      <c r="L13" s="121">
        <v>105960</v>
      </c>
      <c r="M13" s="121">
        <v>42384</v>
      </c>
      <c r="N13" s="184">
        <v>105960</v>
      </c>
      <c r="O13" s="179">
        <v>42384</v>
      </c>
      <c r="P13" s="183">
        <f t="shared" si="1"/>
        <v>63576</v>
      </c>
      <c r="Q13" s="181">
        <v>0</v>
      </c>
      <c r="R13" s="121"/>
      <c r="S13" s="65" t="s">
        <v>338</v>
      </c>
      <c r="V13" s="72">
        <v>42384</v>
      </c>
    </row>
    <row r="14" spans="1:22" ht="55.5" customHeight="1">
      <c r="A14" s="65">
        <v>1</v>
      </c>
      <c r="E14" s="117">
        <v>6</v>
      </c>
      <c r="F14" s="182" t="s">
        <v>315</v>
      </c>
      <c r="G14" s="119" t="s">
        <v>240</v>
      </c>
      <c r="H14" s="119">
        <v>33400</v>
      </c>
      <c r="I14" s="119">
        <v>16700</v>
      </c>
      <c r="J14" s="119">
        <v>33400</v>
      </c>
      <c r="K14" s="119">
        <v>16700</v>
      </c>
      <c r="L14" s="119">
        <f t="shared" ref="L14:M16" si="2">J14</f>
        <v>33400</v>
      </c>
      <c r="M14" s="119">
        <f t="shared" si="2"/>
        <v>16700</v>
      </c>
      <c r="N14" s="120">
        <v>27846.14</v>
      </c>
      <c r="O14" s="119">
        <v>13923.07</v>
      </c>
      <c r="P14" s="183">
        <f t="shared" si="1"/>
        <v>13923.07</v>
      </c>
      <c r="Q14" s="119">
        <v>0</v>
      </c>
      <c r="R14" s="121"/>
      <c r="V14" s="65">
        <f>SUM(V9:V13)</f>
        <v>170942.62</v>
      </c>
    </row>
    <row r="15" spans="1:22" ht="55.5" customHeight="1">
      <c r="A15" s="65">
        <v>1</v>
      </c>
      <c r="E15" s="117">
        <v>7</v>
      </c>
      <c r="F15" s="182" t="s">
        <v>316</v>
      </c>
      <c r="G15" s="119" t="s">
        <v>241</v>
      </c>
      <c r="H15" s="119">
        <v>81000</v>
      </c>
      <c r="I15" s="119">
        <v>40500</v>
      </c>
      <c r="J15" s="119">
        <v>81000</v>
      </c>
      <c r="K15" s="119">
        <v>40500</v>
      </c>
      <c r="L15" s="119">
        <f t="shared" si="2"/>
        <v>81000</v>
      </c>
      <c r="M15" s="119">
        <f t="shared" si="2"/>
        <v>40500</v>
      </c>
      <c r="N15" s="120">
        <v>81000</v>
      </c>
      <c r="O15" s="119">
        <v>40500</v>
      </c>
      <c r="P15" s="183">
        <f t="shared" si="1"/>
        <v>40500</v>
      </c>
      <c r="Q15" s="181">
        <v>40500</v>
      </c>
      <c r="R15" s="121"/>
    </row>
    <row r="16" spans="1:22" ht="55.5" customHeight="1">
      <c r="A16" s="65">
        <v>1</v>
      </c>
      <c r="E16" s="117">
        <v>8</v>
      </c>
      <c r="F16" s="182" t="s">
        <v>317</v>
      </c>
      <c r="G16" s="119" t="s">
        <v>242</v>
      </c>
      <c r="H16" s="119">
        <v>46308.7</v>
      </c>
      <c r="I16" s="119">
        <v>23154.35</v>
      </c>
      <c r="J16" s="119">
        <v>46308.7</v>
      </c>
      <c r="K16" s="119">
        <v>23154.35</v>
      </c>
      <c r="L16" s="119">
        <f t="shared" si="2"/>
        <v>46308.7</v>
      </c>
      <c r="M16" s="119">
        <f t="shared" si="2"/>
        <v>23154.35</v>
      </c>
      <c r="N16" s="120">
        <v>37395.47</v>
      </c>
      <c r="O16" s="119">
        <v>18697.73</v>
      </c>
      <c r="P16" s="183">
        <f t="shared" si="1"/>
        <v>18697.740000000002</v>
      </c>
      <c r="Q16" s="181">
        <v>18697.13</v>
      </c>
      <c r="R16" s="121"/>
    </row>
    <row r="17" spans="1:21" ht="55.5" hidden="1" customHeight="1">
      <c r="E17" s="89"/>
      <c r="F17" s="100" t="s">
        <v>282</v>
      </c>
      <c r="G17" s="100" t="s">
        <v>243</v>
      </c>
      <c r="H17" s="101"/>
      <c r="I17" s="100"/>
      <c r="J17" s="100"/>
      <c r="K17" s="100"/>
      <c r="L17" s="100"/>
      <c r="M17" s="101"/>
      <c r="N17" s="102">
        <v>0</v>
      </c>
      <c r="O17" s="101">
        <v>0</v>
      </c>
      <c r="P17" s="91">
        <f t="shared" si="1"/>
        <v>0</v>
      </c>
      <c r="Q17" s="104"/>
      <c r="R17" s="105"/>
    </row>
    <row r="18" spans="1:21" ht="55.5" customHeight="1">
      <c r="A18" s="65">
        <v>1</v>
      </c>
      <c r="E18" s="117">
        <v>9</v>
      </c>
      <c r="F18" s="182" t="s">
        <v>282</v>
      </c>
      <c r="G18" s="119" t="s">
        <v>243</v>
      </c>
      <c r="H18" s="119">
        <v>159900</v>
      </c>
      <c r="I18" s="119">
        <v>79950</v>
      </c>
      <c r="J18" s="119">
        <v>159900</v>
      </c>
      <c r="K18" s="119">
        <v>79950</v>
      </c>
      <c r="L18" s="119">
        <f>J18</f>
        <v>159900</v>
      </c>
      <c r="M18" s="119">
        <f>K18</f>
        <v>79950</v>
      </c>
      <c r="N18" s="120">
        <v>159900</v>
      </c>
      <c r="O18" s="119">
        <v>79950</v>
      </c>
      <c r="P18" s="183">
        <f t="shared" si="1"/>
        <v>79950</v>
      </c>
      <c r="Q18" s="181">
        <v>79950</v>
      </c>
      <c r="R18" s="121"/>
    </row>
    <row r="19" spans="1:21" ht="55.5" customHeight="1">
      <c r="A19" s="65">
        <v>1</v>
      </c>
      <c r="E19" s="117">
        <v>10</v>
      </c>
      <c r="F19" s="182" t="s">
        <v>283</v>
      </c>
      <c r="G19" s="119" t="s">
        <v>244</v>
      </c>
      <c r="H19" s="119">
        <v>129078</v>
      </c>
      <c r="I19" s="119">
        <v>64539</v>
      </c>
      <c r="J19" s="119">
        <v>129078</v>
      </c>
      <c r="K19" s="119">
        <v>64539</v>
      </c>
      <c r="L19" s="119">
        <f>J19</f>
        <v>129078</v>
      </c>
      <c r="M19" s="119">
        <f>K19</f>
        <v>64539</v>
      </c>
      <c r="N19" s="120">
        <v>125664.61</v>
      </c>
      <c r="O19" s="119">
        <v>62832.3</v>
      </c>
      <c r="P19" s="183">
        <f t="shared" si="1"/>
        <v>62832.31</v>
      </c>
      <c r="Q19" s="181">
        <v>62832.3</v>
      </c>
      <c r="R19" s="121"/>
    </row>
    <row r="20" spans="1:21" ht="55.5" customHeight="1">
      <c r="A20" s="65">
        <v>1</v>
      </c>
      <c r="E20" s="117">
        <v>11</v>
      </c>
      <c r="F20" s="182" t="s">
        <v>284</v>
      </c>
      <c r="G20" s="119" t="s">
        <v>245</v>
      </c>
      <c r="H20" s="119">
        <v>81000</v>
      </c>
      <c r="I20" s="119">
        <v>27356.94</v>
      </c>
      <c r="J20" s="119">
        <v>81000</v>
      </c>
      <c r="K20" s="119">
        <v>27356.94</v>
      </c>
      <c r="L20" s="119">
        <v>81000</v>
      </c>
      <c r="M20" s="119">
        <f>K20</f>
        <v>27356.94</v>
      </c>
      <c r="N20" s="125">
        <v>81000</v>
      </c>
      <c r="O20" s="124">
        <v>27356.94</v>
      </c>
      <c r="P20" s="183">
        <f t="shared" si="1"/>
        <v>53643.06</v>
      </c>
      <c r="Q20" s="181">
        <v>27356.94</v>
      </c>
      <c r="R20" s="121"/>
    </row>
    <row r="21" spans="1:21" ht="55.5" customHeight="1">
      <c r="A21" s="65">
        <v>1</v>
      </c>
      <c r="E21" s="117">
        <v>12</v>
      </c>
      <c r="F21" s="182" t="s">
        <v>318</v>
      </c>
      <c r="G21" s="119" t="s">
        <v>244</v>
      </c>
      <c r="H21" s="119">
        <v>77618.5</v>
      </c>
      <c r="I21" s="119">
        <v>38809.25</v>
      </c>
      <c r="J21" s="119">
        <v>77618.5</v>
      </c>
      <c r="K21" s="119">
        <v>38809.25</v>
      </c>
      <c r="L21" s="119">
        <v>77618.5</v>
      </c>
      <c r="M21" s="119">
        <f>K21</f>
        <v>38809.25</v>
      </c>
      <c r="N21" s="125">
        <v>77618.5</v>
      </c>
      <c r="O21" s="124">
        <v>38809.25</v>
      </c>
      <c r="P21" s="183">
        <f t="shared" si="1"/>
        <v>38809.25</v>
      </c>
      <c r="Q21" s="181">
        <f>O21</f>
        <v>38809.25</v>
      </c>
      <c r="R21" s="121"/>
    </row>
    <row r="22" spans="1:21" ht="55.5" customHeight="1">
      <c r="A22" s="65">
        <v>1</v>
      </c>
      <c r="E22" s="117">
        <v>13</v>
      </c>
      <c r="F22" s="182" t="s">
        <v>285</v>
      </c>
      <c r="G22" s="119" t="s">
        <v>246</v>
      </c>
      <c r="H22" s="119">
        <v>114130</v>
      </c>
      <c r="I22" s="119">
        <v>57065</v>
      </c>
      <c r="J22" s="119">
        <v>114130</v>
      </c>
      <c r="K22" s="119">
        <v>57065</v>
      </c>
      <c r="L22" s="119">
        <f>J22</f>
        <v>114130</v>
      </c>
      <c r="M22" s="119">
        <f>K22</f>
        <v>57065</v>
      </c>
      <c r="N22" s="120">
        <v>114130</v>
      </c>
      <c r="O22" s="119">
        <v>55358.3</v>
      </c>
      <c r="P22" s="183">
        <f t="shared" si="1"/>
        <v>58771.7</v>
      </c>
      <c r="Q22" s="181">
        <v>0</v>
      </c>
      <c r="R22" s="121"/>
      <c r="S22" s="65">
        <f>I22-O22</f>
        <v>1706.6999999999971</v>
      </c>
    </row>
    <row r="23" spans="1:21" ht="55.5" customHeight="1">
      <c r="C23" s="65">
        <v>1</v>
      </c>
      <c r="E23" s="89">
        <v>14</v>
      </c>
      <c r="F23" s="108" t="s">
        <v>319</v>
      </c>
      <c r="G23" s="71" t="s">
        <v>247</v>
      </c>
      <c r="H23" s="71">
        <v>159203.38</v>
      </c>
      <c r="I23" s="71">
        <v>79601.69</v>
      </c>
      <c r="J23" s="71">
        <v>159203.38</v>
      </c>
      <c r="K23" s="71">
        <v>79601.69</v>
      </c>
      <c r="L23" s="71">
        <f>J23</f>
        <v>159203.38</v>
      </c>
      <c r="M23" s="71">
        <f>K23</f>
        <v>79601.69</v>
      </c>
      <c r="N23" s="78">
        <v>159202.89000000001</v>
      </c>
      <c r="O23" s="71">
        <v>79601.429999999993</v>
      </c>
      <c r="P23" s="91">
        <f t="shared" si="1"/>
        <v>79601.460000000021</v>
      </c>
      <c r="Q23" s="104">
        <v>0</v>
      </c>
      <c r="R23" s="72"/>
    </row>
    <row r="24" spans="1:21" ht="55.5" customHeight="1">
      <c r="C24" s="65">
        <v>1</v>
      </c>
      <c r="E24" s="89">
        <v>15</v>
      </c>
      <c r="F24" s="108" t="s">
        <v>320</v>
      </c>
      <c r="G24" s="71" t="s">
        <v>248</v>
      </c>
      <c r="H24" s="71">
        <v>90000</v>
      </c>
      <c r="I24" s="71">
        <v>45000</v>
      </c>
      <c r="J24" s="71">
        <v>90000</v>
      </c>
      <c r="K24" s="71">
        <v>45000</v>
      </c>
      <c r="L24" s="71">
        <f>J24</f>
        <v>90000</v>
      </c>
      <c r="M24" s="71">
        <f>K24</f>
        <v>45000</v>
      </c>
      <c r="N24" s="78">
        <v>90000</v>
      </c>
      <c r="O24" s="71">
        <v>45000</v>
      </c>
      <c r="P24" s="91">
        <f t="shared" si="1"/>
        <v>45000</v>
      </c>
      <c r="Q24" s="104">
        <v>0</v>
      </c>
      <c r="R24" s="72"/>
    </row>
    <row r="25" spans="1:21" ht="55.5" customHeight="1">
      <c r="E25" s="89"/>
      <c r="F25" s="652" t="s">
        <v>286</v>
      </c>
      <c r="G25" s="653"/>
      <c r="H25" s="71"/>
      <c r="I25" s="71"/>
      <c r="J25" s="71"/>
      <c r="K25" s="71"/>
      <c r="L25" s="71"/>
      <c r="M25" s="71"/>
      <c r="N25" s="78"/>
      <c r="O25" s="71"/>
      <c r="P25" s="91">
        <f t="shared" si="1"/>
        <v>0</v>
      </c>
      <c r="Q25" s="104"/>
      <c r="R25" s="72"/>
    </row>
    <row r="26" spans="1:21" ht="55.5" customHeight="1">
      <c r="A26" s="65">
        <v>1</v>
      </c>
      <c r="E26" s="117">
        <v>16</v>
      </c>
      <c r="F26" s="182" t="s">
        <v>288</v>
      </c>
      <c r="G26" s="119" t="s">
        <v>287</v>
      </c>
      <c r="H26" s="119">
        <v>159000</v>
      </c>
      <c r="I26" s="119">
        <v>79500</v>
      </c>
      <c r="J26" s="119">
        <v>159000</v>
      </c>
      <c r="K26" s="119">
        <v>79500</v>
      </c>
      <c r="L26" s="119">
        <v>159000</v>
      </c>
      <c r="M26" s="119">
        <f>K26</f>
        <v>79500</v>
      </c>
      <c r="N26" s="120">
        <v>159000</v>
      </c>
      <c r="O26" s="119">
        <v>79500</v>
      </c>
      <c r="P26" s="183">
        <f t="shared" si="1"/>
        <v>79500</v>
      </c>
      <c r="Q26" s="181">
        <v>0</v>
      </c>
      <c r="R26" s="121"/>
    </row>
    <row r="27" spans="1:21" ht="55.5" customHeight="1">
      <c r="A27" s="65">
        <v>1</v>
      </c>
      <c r="E27" s="192">
        <v>17</v>
      </c>
      <c r="F27" s="182" t="s">
        <v>321</v>
      </c>
      <c r="G27" s="119" t="s">
        <v>289</v>
      </c>
      <c r="H27" s="119">
        <v>158315.54</v>
      </c>
      <c r="I27" s="119">
        <v>79157.77</v>
      </c>
      <c r="J27" s="119">
        <v>158315.54</v>
      </c>
      <c r="K27" s="119">
        <v>79157.77</v>
      </c>
      <c r="L27" s="119">
        <v>158315.54</v>
      </c>
      <c r="M27" s="119">
        <f>K27</f>
        <v>79157.77</v>
      </c>
      <c r="N27" s="120">
        <v>158315.54</v>
      </c>
      <c r="O27" s="193">
        <f>M27-4666.66</f>
        <v>74491.11</v>
      </c>
      <c r="P27" s="183">
        <f t="shared" si="1"/>
        <v>83824.430000000008</v>
      </c>
      <c r="Q27" s="181">
        <v>0</v>
      </c>
      <c r="R27" s="121"/>
      <c r="S27" s="65">
        <f>M26+M27</f>
        <v>158657.77000000002</v>
      </c>
      <c r="U27" s="111"/>
    </row>
    <row r="28" spans="1:21" ht="55.5" customHeight="1">
      <c r="E28" s="110"/>
      <c r="F28" s="652" t="s">
        <v>339</v>
      </c>
      <c r="G28" s="653"/>
      <c r="H28" s="71"/>
      <c r="I28" s="71"/>
      <c r="J28" s="71"/>
      <c r="K28" s="71"/>
      <c r="L28" s="71"/>
      <c r="M28" s="71"/>
      <c r="N28" s="78"/>
      <c r="O28" s="71"/>
      <c r="P28" s="91">
        <f t="shared" si="1"/>
        <v>0</v>
      </c>
      <c r="Q28" s="104"/>
      <c r="R28" s="72"/>
      <c r="U28" s="111"/>
    </row>
    <row r="29" spans="1:21" ht="55.5" customHeight="1">
      <c r="C29" s="65">
        <v>1</v>
      </c>
      <c r="E29" s="110">
        <v>18</v>
      </c>
      <c r="F29" s="108" t="s">
        <v>340</v>
      </c>
      <c r="G29" s="71" t="s">
        <v>341</v>
      </c>
      <c r="H29" s="112">
        <v>149500</v>
      </c>
      <c r="I29" s="112">
        <v>59800</v>
      </c>
      <c r="J29" s="71"/>
      <c r="K29" s="71"/>
      <c r="L29" s="71"/>
      <c r="M29" s="71"/>
      <c r="N29" s="78"/>
      <c r="O29" s="71"/>
      <c r="P29" s="91">
        <f t="shared" si="1"/>
        <v>0</v>
      </c>
      <c r="Q29" s="104"/>
      <c r="R29" s="72"/>
      <c r="U29" s="111"/>
    </row>
    <row r="30" spans="1:21" s="107" customFormat="1" ht="55.5" customHeight="1">
      <c r="A30" s="65"/>
      <c r="B30" s="65"/>
      <c r="C30" s="65"/>
      <c r="D30" s="65"/>
      <c r="E30" s="113" t="s">
        <v>70</v>
      </c>
      <c r="F30" s="114">
        <v>41600</v>
      </c>
      <c r="G30" s="75"/>
      <c r="H30" s="75">
        <f>SUM(H31:H37)</f>
        <v>350668.32</v>
      </c>
      <c r="I30" s="75">
        <f>SUM(I31:I37)</f>
        <v>175334.19</v>
      </c>
      <c r="J30" s="75">
        <f t="shared" ref="J30:Q30" si="3">SUM(J31:J37)</f>
        <v>133300</v>
      </c>
      <c r="K30" s="75">
        <f t="shared" si="3"/>
        <v>66650</v>
      </c>
      <c r="L30" s="75">
        <f t="shared" si="3"/>
        <v>133300</v>
      </c>
      <c r="M30" s="75">
        <f t="shared" si="3"/>
        <v>66650</v>
      </c>
      <c r="N30" s="75">
        <f t="shared" si="3"/>
        <v>0</v>
      </c>
      <c r="O30" s="75">
        <f t="shared" si="3"/>
        <v>0</v>
      </c>
      <c r="P30" s="75">
        <f t="shared" si="3"/>
        <v>0</v>
      </c>
      <c r="Q30" s="75">
        <f t="shared" si="3"/>
        <v>0</v>
      </c>
      <c r="R30" s="94">
        <f>F30-M37</f>
        <v>16550</v>
      </c>
    </row>
    <row r="31" spans="1:21" ht="55.5" customHeight="1">
      <c r="E31" s="65"/>
      <c r="F31" s="654" t="s">
        <v>291</v>
      </c>
      <c r="G31" s="655"/>
      <c r="H31" s="115"/>
      <c r="I31" s="115"/>
      <c r="J31" s="115"/>
      <c r="K31" s="115"/>
      <c r="L31" s="115"/>
      <c r="M31" s="115"/>
      <c r="N31" s="116">
        <f>SUM(N32:N35)</f>
        <v>0</v>
      </c>
      <c r="O31" s="115">
        <f>SUM(O32:O35)</f>
        <v>0</v>
      </c>
      <c r="P31" s="91">
        <f t="shared" ref="P31:P85" si="4">N31+O31</f>
        <v>0</v>
      </c>
      <c r="Q31" s="104">
        <f>SUM(Q32:Q35)</f>
        <v>0</v>
      </c>
      <c r="R31" s="115"/>
    </row>
    <row r="32" spans="1:21" ht="76.2" customHeight="1">
      <c r="A32" s="65">
        <v>1</v>
      </c>
      <c r="E32" s="117">
        <v>1</v>
      </c>
      <c r="F32" s="118" t="s">
        <v>322</v>
      </c>
      <c r="G32" s="119" t="s">
        <v>250</v>
      </c>
      <c r="H32" s="119">
        <v>91858.32</v>
      </c>
      <c r="I32" s="119">
        <v>45929.19</v>
      </c>
      <c r="J32" s="119">
        <v>0</v>
      </c>
      <c r="K32" s="119">
        <v>0</v>
      </c>
      <c r="L32" s="119">
        <f t="shared" ref="L32:M34" si="5">J32</f>
        <v>0</v>
      </c>
      <c r="M32" s="119">
        <f t="shared" si="5"/>
        <v>0</v>
      </c>
      <c r="N32" s="120">
        <v>0</v>
      </c>
      <c r="O32" s="119">
        <v>0</v>
      </c>
      <c r="P32" s="91">
        <f t="shared" si="4"/>
        <v>0</v>
      </c>
      <c r="Q32" s="104">
        <v>0</v>
      </c>
      <c r="R32" s="121"/>
    </row>
    <row r="33" spans="2:21" ht="66" customHeight="1">
      <c r="C33" s="65">
        <v>1</v>
      </c>
      <c r="E33" s="89">
        <v>2</v>
      </c>
      <c r="F33" s="122" t="s">
        <v>292</v>
      </c>
      <c r="G33" s="72" t="s">
        <v>251</v>
      </c>
      <c r="H33" s="72">
        <v>83200</v>
      </c>
      <c r="I33" s="72">
        <v>41600</v>
      </c>
      <c r="J33" s="72">
        <v>83200</v>
      </c>
      <c r="K33" s="72">
        <v>41600</v>
      </c>
      <c r="L33" s="72">
        <f t="shared" si="5"/>
        <v>83200</v>
      </c>
      <c r="M33" s="72">
        <f t="shared" si="5"/>
        <v>41600</v>
      </c>
      <c r="N33" s="106">
        <v>0</v>
      </c>
      <c r="O33" s="72">
        <v>0</v>
      </c>
      <c r="P33" s="91">
        <f t="shared" si="4"/>
        <v>0</v>
      </c>
      <c r="Q33" s="104"/>
      <c r="R33" s="72"/>
      <c r="S33" s="123" t="s">
        <v>332</v>
      </c>
    </row>
    <row r="34" spans="2:21" ht="55.5" customHeight="1">
      <c r="D34" s="65">
        <v>1</v>
      </c>
      <c r="E34" s="194">
        <v>3</v>
      </c>
      <c r="F34" s="195" t="s">
        <v>325</v>
      </c>
      <c r="G34" s="196" t="s">
        <v>252</v>
      </c>
      <c r="H34" s="196">
        <v>62755</v>
      </c>
      <c r="I34" s="196">
        <v>31377.5</v>
      </c>
      <c r="J34" s="196">
        <v>0</v>
      </c>
      <c r="K34" s="196">
        <v>0</v>
      </c>
      <c r="L34" s="196">
        <f t="shared" si="5"/>
        <v>0</v>
      </c>
      <c r="M34" s="196">
        <f t="shared" si="5"/>
        <v>0</v>
      </c>
      <c r="N34" s="197">
        <v>0</v>
      </c>
      <c r="O34" s="196">
        <v>0</v>
      </c>
      <c r="P34" s="99">
        <f t="shared" si="4"/>
        <v>0</v>
      </c>
      <c r="Q34" s="126">
        <v>0</v>
      </c>
      <c r="R34" s="196"/>
    </row>
    <row r="35" spans="2:21" ht="55.5" customHeight="1">
      <c r="E35" s="89"/>
      <c r="F35" s="640"/>
      <c r="G35" s="641"/>
      <c r="H35" s="124">
        <v>62755</v>
      </c>
      <c r="I35" s="124">
        <v>31377.5</v>
      </c>
      <c r="J35" s="90"/>
      <c r="K35" s="90"/>
      <c r="L35" s="90"/>
      <c r="M35" s="90"/>
      <c r="N35" s="109"/>
      <c r="O35" s="90"/>
      <c r="P35" s="91">
        <f t="shared" si="4"/>
        <v>0</v>
      </c>
      <c r="Q35" s="126"/>
      <c r="R35" s="90"/>
    </row>
    <row r="36" spans="2:21" ht="55.5" customHeight="1">
      <c r="E36" s="89"/>
      <c r="F36" s="640" t="s">
        <v>342</v>
      </c>
      <c r="G36" s="641"/>
      <c r="H36" s="90"/>
      <c r="I36" s="90"/>
      <c r="J36" s="90"/>
      <c r="K36" s="90"/>
      <c r="L36" s="90"/>
      <c r="M36" s="90"/>
      <c r="N36" s="109"/>
      <c r="O36" s="90"/>
      <c r="P36" s="91">
        <f t="shared" si="4"/>
        <v>0</v>
      </c>
      <c r="Q36" s="126"/>
      <c r="R36" s="90"/>
    </row>
    <row r="37" spans="2:21" ht="55.5" customHeight="1">
      <c r="D37" s="65">
        <v>1</v>
      </c>
      <c r="E37" s="89">
        <v>5</v>
      </c>
      <c r="F37" s="198" t="s">
        <v>325</v>
      </c>
      <c r="G37" s="90" t="s">
        <v>252</v>
      </c>
      <c r="H37" s="90">
        <v>50100</v>
      </c>
      <c r="I37" s="90">
        <v>25050</v>
      </c>
      <c r="J37" s="90">
        <v>50100</v>
      </c>
      <c r="K37" s="90">
        <v>25050</v>
      </c>
      <c r="L37" s="90">
        <v>50100</v>
      </c>
      <c r="M37" s="90">
        <v>25050</v>
      </c>
      <c r="N37" s="109"/>
      <c r="O37" s="90"/>
      <c r="P37" s="91">
        <f t="shared" si="4"/>
        <v>0</v>
      </c>
      <c r="Q37" s="74"/>
      <c r="R37" s="90"/>
    </row>
    <row r="38" spans="2:21" ht="55.5" customHeight="1">
      <c r="E38" s="127" t="s">
        <v>71</v>
      </c>
      <c r="F38" s="128">
        <v>785500</v>
      </c>
      <c r="G38" s="129"/>
      <c r="H38" s="130">
        <f>SUM(H40:H54)</f>
        <v>1259717.71</v>
      </c>
      <c r="I38" s="130">
        <f t="shared" ref="I38:Q38" si="6">SUM(I40:I54)</f>
        <v>881614.45699999994</v>
      </c>
      <c r="J38" s="130">
        <f t="shared" si="6"/>
        <v>918586.57</v>
      </c>
      <c r="K38" s="130">
        <f>SUM(K40:K54)</f>
        <v>632584.21399999992</v>
      </c>
      <c r="L38" s="130">
        <f t="shared" si="6"/>
        <v>918586.57</v>
      </c>
      <c r="M38" s="130">
        <f t="shared" si="6"/>
        <v>632584.21399999992</v>
      </c>
      <c r="N38" s="131">
        <f t="shared" si="6"/>
        <v>908222.97</v>
      </c>
      <c r="O38" s="130">
        <f t="shared" si="6"/>
        <v>625318.35399999993</v>
      </c>
      <c r="P38" s="130">
        <f t="shared" si="6"/>
        <v>355190.61600000004</v>
      </c>
      <c r="Q38" s="131">
        <f t="shared" si="6"/>
        <v>10718.4</v>
      </c>
      <c r="R38" s="132">
        <f>F38-M38</f>
        <v>152915.78600000008</v>
      </c>
    </row>
    <row r="39" spans="2:21" ht="55.5" customHeight="1">
      <c r="E39" s="65"/>
      <c r="F39" s="642" t="s">
        <v>293</v>
      </c>
      <c r="G39" s="643"/>
      <c r="H39" s="133"/>
      <c r="I39" s="133"/>
      <c r="J39" s="133"/>
      <c r="K39" s="133"/>
      <c r="L39" s="133"/>
      <c r="M39" s="133"/>
      <c r="N39" s="134"/>
      <c r="O39" s="133"/>
      <c r="P39" s="91">
        <f t="shared" si="4"/>
        <v>0</v>
      </c>
      <c r="Q39" s="92"/>
      <c r="R39" s="133"/>
    </row>
    <row r="40" spans="2:21" ht="55.5" customHeight="1">
      <c r="E40" s="135">
        <v>1</v>
      </c>
      <c r="F40" s="136" t="s">
        <v>261</v>
      </c>
      <c r="G40" s="137" t="s">
        <v>262</v>
      </c>
      <c r="H40" s="138">
        <v>268845.14</v>
      </c>
      <c r="I40" s="138">
        <f t="shared" ref="I40:I45" si="7">H40*70%</f>
        <v>188191.598</v>
      </c>
      <c r="J40" s="138">
        <v>0</v>
      </c>
      <c r="K40" s="138">
        <v>0</v>
      </c>
      <c r="L40" s="138"/>
      <c r="M40" s="138"/>
      <c r="N40" s="120">
        <v>0</v>
      </c>
      <c r="O40" s="119">
        <v>0</v>
      </c>
      <c r="P40" s="91">
        <f t="shared" si="4"/>
        <v>0</v>
      </c>
      <c r="Q40" s="104">
        <v>0</v>
      </c>
      <c r="R40" s="121"/>
    </row>
    <row r="41" spans="2:21" ht="55.5" customHeight="1">
      <c r="D41" s="65">
        <v>1</v>
      </c>
      <c r="E41" s="139">
        <v>2</v>
      </c>
      <c r="F41" s="140" t="s">
        <v>263</v>
      </c>
      <c r="G41" s="141" t="s">
        <v>264</v>
      </c>
      <c r="H41" s="64">
        <v>29969.16</v>
      </c>
      <c r="I41" s="64">
        <f t="shared" si="7"/>
        <v>20978.412</v>
      </c>
      <c r="J41" s="64">
        <f t="shared" ref="J41:K44" si="8">H41</f>
        <v>29969.16</v>
      </c>
      <c r="K41" s="64">
        <f t="shared" si="8"/>
        <v>20978.412</v>
      </c>
      <c r="L41" s="64">
        <v>29969.16</v>
      </c>
      <c r="M41" s="64">
        <v>20978.412</v>
      </c>
      <c r="N41" s="78">
        <v>29969.16</v>
      </c>
      <c r="O41" s="71">
        <v>20978.412</v>
      </c>
      <c r="P41" s="91">
        <f>H41-I41</f>
        <v>8990.7479999999996</v>
      </c>
      <c r="Q41" s="104">
        <v>0</v>
      </c>
      <c r="R41" s="72"/>
      <c r="U41" s="65">
        <v>25621.49</v>
      </c>
    </row>
    <row r="42" spans="2:21" ht="55.5" customHeight="1">
      <c r="C42" s="65">
        <v>1</v>
      </c>
      <c r="E42" s="200">
        <v>3</v>
      </c>
      <c r="F42" s="201" t="s">
        <v>265</v>
      </c>
      <c r="G42" s="202" t="s">
        <v>266</v>
      </c>
      <c r="H42" s="203">
        <v>118183</v>
      </c>
      <c r="I42" s="203">
        <f t="shared" si="7"/>
        <v>82728.099999999991</v>
      </c>
      <c r="J42" s="203">
        <f t="shared" si="8"/>
        <v>118183</v>
      </c>
      <c r="K42" s="203">
        <f t="shared" si="8"/>
        <v>82728.099999999991</v>
      </c>
      <c r="L42" s="203">
        <v>118183</v>
      </c>
      <c r="M42" s="203">
        <v>82728.099999999991</v>
      </c>
      <c r="N42" s="204">
        <v>118183</v>
      </c>
      <c r="O42" s="205">
        <v>82728.099999999991</v>
      </c>
      <c r="P42" s="99">
        <f>H42-I42</f>
        <v>35454.900000000009</v>
      </c>
      <c r="Q42" s="104">
        <v>0</v>
      </c>
      <c r="R42" s="206"/>
      <c r="U42" s="65">
        <v>25621.49</v>
      </c>
    </row>
    <row r="43" spans="2:21" ht="55.5" customHeight="1">
      <c r="D43" s="65">
        <v>1</v>
      </c>
      <c r="E43" s="139">
        <v>4</v>
      </c>
      <c r="F43" s="140" t="s">
        <v>267</v>
      </c>
      <c r="G43" s="141" t="s">
        <v>268</v>
      </c>
      <c r="H43" s="64">
        <v>380963.16</v>
      </c>
      <c r="I43" s="64">
        <f t="shared" si="7"/>
        <v>266674.21199999994</v>
      </c>
      <c r="J43" s="64">
        <f t="shared" si="8"/>
        <v>380963.16</v>
      </c>
      <c r="K43" s="64">
        <f t="shared" si="8"/>
        <v>266674.21199999994</v>
      </c>
      <c r="L43" s="64">
        <v>380963.16</v>
      </c>
      <c r="M43" s="64">
        <v>266674.21199999994</v>
      </c>
      <c r="N43" s="78">
        <v>380963.16</v>
      </c>
      <c r="O43" s="71">
        <v>266674.21199999994</v>
      </c>
      <c r="P43" s="91">
        <f>H43-I43</f>
        <v>114288.94800000003</v>
      </c>
      <c r="Q43" s="104">
        <v>0</v>
      </c>
      <c r="R43" s="72"/>
    </row>
    <row r="44" spans="2:21" ht="55.5" customHeight="1">
      <c r="C44" s="65">
        <v>1</v>
      </c>
      <c r="E44" s="200">
        <v>5</v>
      </c>
      <c r="F44" s="201" t="s">
        <v>269</v>
      </c>
      <c r="G44" s="202" t="s">
        <v>270</v>
      </c>
      <c r="H44" s="203">
        <v>35628</v>
      </c>
      <c r="I44" s="203">
        <f t="shared" si="7"/>
        <v>24939.599999999999</v>
      </c>
      <c r="J44" s="203">
        <f t="shared" si="8"/>
        <v>35628</v>
      </c>
      <c r="K44" s="203">
        <f t="shared" si="8"/>
        <v>24939.599999999999</v>
      </c>
      <c r="L44" s="203">
        <v>35628</v>
      </c>
      <c r="M44" s="203">
        <v>24939.599999999999</v>
      </c>
      <c r="N44" s="204">
        <v>35628</v>
      </c>
      <c r="O44" s="205">
        <v>24939.599999999999</v>
      </c>
      <c r="P44" s="99">
        <f>H44-I44</f>
        <v>10688.400000000001</v>
      </c>
      <c r="Q44" s="104">
        <v>0</v>
      </c>
      <c r="R44" s="206"/>
      <c r="U44" s="65">
        <v>25621.49</v>
      </c>
    </row>
    <row r="45" spans="2:21" ht="55.5" customHeight="1">
      <c r="D45" s="65">
        <v>1</v>
      </c>
      <c r="E45" s="139">
        <v>6</v>
      </c>
      <c r="F45" s="140" t="s">
        <v>271</v>
      </c>
      <c r="G45" s="141" t="s">
        <v>272</v>
      </c>
      <c r="H45" s="64">
        <v>20661.650000000001</v>
      </c>
      <c r="I45" s="64">
        <f t="shared" si="7"/>
        <v>14463.155000000001</v>
      </c>
      <c r="J45" s="64">
        <v>20661.650000000001</v>
      </c>
      <c r="K45" s="64">
        <v>4036.77</v>
      </c>
      <c r="L45" s="64">
        <v>20661.650000000001</v>
      </c>
      <c r="M45" s="64">
        <v>4036.77</v>
      </c>
      <c r="N45" s="78">
        <v>20661.650000000001</v>
      </c>
      <c r="O45" s="71">
        <v>4036.77</v>
      </c>
      <c r="P45" s="91">
        <f>L45-M45</f>
        <v>16624.88</v>
      </c>
      <c r="Q45" s="104">
        <v>0</v>
      </c>
      <c r="R45" s="72"/>
      <c r="U45" s="142">
        <f>SUM(U41:U44)</f>
        <v>76864.47</v>
      </c>
    </row>
    <row r="46" spans="2:21" ht="55.5" customHeight="1">
      <c r="E46" s="139"/>
      <c r="F46" s="646" t="s">
        <v>294</v>
      </c>
      <c r="G46" s="647"/>
      <c r="H46" s="64"/>
      <c r="I46" s="64"/>
      <c r="J46" s="64"/>
      <c r="K46" s="64"/>
      <c r="L46" s="64"/>
      <c r="M46" s="64"/>
      <c r="N46" s="78"/>
      <c r="O46" s="71"/>
      <c r="P46" s="91">
        <f t="shared" ref="P46:P53" si="9">N46-O46</f>
        <v>0</v>
      </c>
      <c r="Q46" s="104"/>
      <c r="R46" s="72"/>
    </row>
    <row r="47" spans="2:21" ht="55.5" customHeight="1">
      <c r="B47" s="65">
        <v>1</v>
      </c>
      <c r="E47" s="207">
        <v>7</v>
      </c>
      <c r="F47" s="208" t="s">
        <v>297</v>
      </c>
      <c r="G47" s="209" t="s">
        <v>327</v>
      </c>
      <c r="H47" s="210">
        <v>15312</v>
      </c>
      <c r="I47" s="210">
        <v>10718.4</v>
      </c>
      <c r="J47" s="210">
        <v>15312</v>
      </c>
      <c r="K47" s="210">
        <v>10718.4</v>
      </c>
      <c r="L47" s="210">
        <v>15312</v>
      </c>
      <c r="M47" s="210">
        <v>10718.4</v>
      </c>
      <c r="N47" s="211">
        <v>15312</v>
      </c>
      <c r="O47" s="210">
        <v>10718.4</v>
      </c>
      <c r="P47" s="212">
        <f t="shared" si="9"/>
        <v>4593.6000000000004</v>
      </c>
      <c r="Q47" s="213">
        <v>10718.4</v>
      </c>
      <c r="R47" s="214"/>
    </row>
    <row r="48" spans="2:21" ht="55.5" customHeight="1">
      <c r="D48" s="65">
        <v>1</v>
      </c>
      <c r="E48" s="139">
        <v>8</v>
      </c>
      <c r="F48" s="140" t="s">
        <v>296</v>
      </c>
      <c r="G48" s="141" t="s">
        <v>295</v>
      </c>
      <c r="H48" s="143">
        <v>88500</v>
      </c>
      <c r="I48" s="143">
        <v>61950</v>
      </c>
      <c r="J48" s="143">
        <v>88500</v>
      </c>
      <c r="K48" s="143">
        <v>61950</v>
      </c>
      <c r="L48" s="143">
        <v>88500</v>
      </c>
      <c r="M48" s="143">
        <v>61950</v>
      </c>
      <c r="N48" s="144">
        <v>88500</v>
      </c>
      <c r="O48" s="143">
        <v>61950</v>
      </c>
      <c r="P48" s="91">
        <f t="shared" si="9"/>
        <v>26550</v>
      </c>
      <c r="Q48" s="104">
        <v>0</v>
      </c>
      <c r="R48" s="72"/>
    </row>
    <row r="49" spans="1:21" ht="55.5" customHeight="1">
      <c r="E49" s="139"/>
      <c r="F49" s="646" t="s">
        <v>298</v>
      </c>
      <c r="G49" s="647"/>
      <c r="H49" s="143"/>
      <c r="I49" s="143"/>
      <c r="J49" s="143"/>
      <c r="K49" s="143"/>
      <c r="L49" s="143"/>
      <c r="M49" s="143"/>
      <c r="N49" s="78"/>
      <c r="O49" s="71"/>
      <c r="P49" s="91">
        <f t="shared" si="9"/>
        <v>0</v>
      </c>
      <c r="Q49" s="104"/>
      <c r="R49" s="72"/>
    </row>
    <row r="50" spans="1:21" ht="66.75" customHeight="1">
      <c r="B50" s="65">
        <v>1</v>
      </c>
      <c r="E50" s="207">
        <v>9</v>
      </c>
      <c r="F50" s="208" t="s">
        <v>300</v>
      </c>
      <c r="G50" s="215" t="s">
        <v>299</v>
      </c>
      <c r="H50" s="210">
        <v>29916</v>
      </c>
      <c r="I50" s="210">
        <v>20941.2</v>
      </c>
      <c r="J50" s="210">
        <v>29916</v>
      </c>
      <c r="K50" s="210">
        <v>20941.2</v>
      </c>
      <c r="L50" s="210">
        <v>29916</v>
      </c>
      <c r="M50" s="210">
        <v>20941.2</v>
      </c>
      <c r="N50" s="211">
        <v>29916</v>
      </c>
      <c r="O50" s="216">
        <v>20929.86</v>
      </c>
      <c r="P50" s="212">
        <f t="shared" si="9"/>
        <v>8986.14</v>
      </c>
      <c r="Q50" s="213">
        <v>0</v>
      </c>
      <c r="R50" s="214"/>
    </row>
    <row r="51" spans="1:21" ht="66.75" customHeight="1">
      <c r="E51" s="139"/>
      <c r="F51" s="646" t="s">
        <v>343</v>
      </c>
      <c r="G51" s="647"/>
      <c r="H51" s="143"/>
      <c r="I51" s="143"/>
      <c r="J51" s="143"/>
      <c r="K51" s="143"/>
      <c r="L51" s="143"/>
      <c r="M51" s="143"/>
      <c r="N51" s="78"/>
      <c r="O51" s="71"/>
      <c r="P51" s="91">
        <f t="shared" si="9"/>
        <v>0</v>
      </c>
      <c r="Q51" s="104"/>
      <c r="R51" s="72"/>
    </row>
    <row r="52" spans="1:21" ht="80.25" customHeight="1">
      <c r="B52" s="65">
        <v>1</v>
      </c>
      <c r="E52" s="139">
        <v>10</v>
      </c>
      <c r="F52" s="140" t="s">
        <v>261</v>
      </c>
      <c r="G52" s="145" t="s">
        <v>262</v>
      </c>
      <c r="H52" s="143">
        <v>189090</v>
      </c>
      <c r="I52" s="143">
        <v>132363</v>
      </c>
      <c r="J52" s="143">
        <v>189090</v>
      </c>
      <c r="K52" s="143">
        <v>132363</v>
      </c>
      <c r="L52" s="143">
        <v>189090</v>
      </c>
      <c r="M52" s="143">
        <v>132363</v>
      </c>
      <c r="N52" s="144">
        <v>189090</v>
      </c>
      <c r="O52" s="143">
        <v>132363</v>
      </c>
      <c r="P52" s="91">
        <f t="shared" si="9"/>
        <v>56727</v>
      </c>
      <c r="Q52" s="104"/>
      <c r="R52" s="72"/>
      <c r="U52" s="146">
        <f>O47+O48+O50+O52</f>
        <v>225961.26</v>
      </c>
    </row>
    <row r="53" spans="1:21" ht="66.75" customHeight="1">
      <c r="C53" s="65">
        <v>1</v>
      </c>
      <c r="E53" s="200">
        <v>11</v>
      </c>
      <c r="F53" s="201" t="s">
        <v>344</v>
      </c>
      <c r="G53" s="220" t="s">
        <v>345</v>
      </c>
      <c r="H53" s="221">
        <v>10363.6</v>
      </c>
      <c r="I53" s="221">
        <v>7254.52</v>
      </c>
      <c r="J53" s="221">
        <v>10363.6</v>
      </c>
      <c r="K53" s="221">
        <v>7254.52</v>
      </c>
      <c r="L53" s="221">
        <v>10363.6</v>
      </c>
      <c r="M53" s="221">
        <v>7254.52</v>
      </c>
      <c r="N53" s="204"/>
      <c r="O53" s="205"/>
      <c r="P53" s="99">
        <f t="shared" si="9"/>
        <v>0</v>
      </c>
      <c r="Q53" s="104"/>
      <c r="R53" s="206"/>
    </row>
    <row r="54" spans="1:21" ht="101.25" customHeight="1">
      <c r="B54" s="65">
        <v>1</v>
      </c>
      <c r="E54" s="207">
        <v>12</v>
      </c>
      <c r="F54" s="208" t="s">
        <v>346</v>
      </c>
      <c r="G54" s="215"/>
      <c r="H54" s="210">
        <v>72286</v>
      </c>
      <c r="I54" s="210">
        <v>50412.26</v>
      </c>
      <c r="J54" s="210"/>
      <c r="K54" s="210"/>
      <c r="L54" s="210"/>
      <c r="M54" s="210"/>
      <c r="N54" s="217"/>
      <c r="O54" s="218"/>
      <c r="P54" s="219">
        <f>H54-M54</f>
        <v>72286</v>
      </c>
      <c r="Q54" s="213"/>
      <c r="R54" s="214"/>
      <c r="S54" s="146">
        <f>O52+O50+O48+O47</f>
        <v>225961.25999999998</v>
      </c>
    </row>
    <row r="55" spans="1:21" ht="66.75" customHeight="1">
      <c r="A55" s="147">
        <f>SUM(A4:A54)</f>
        <v>15</v>
      </c>
      <c r="B55" s="147">
        <f t="shared" ref="B55:D55" si="10">SUM(B4:B54)</f>
        <v>4</v>
      </c>
      <c r="C55" s="147">
        <f t="shared" si="10"/>
        <v>7</v>
      </c>
      <c r="D55" s="147">
        <f t="shared" si="10"/>
        <v>7</v>
      </c>
      <c r="E55" s="127" t="s">
        <v>72</v>
      </c>
      <c r="F55" s="128">
        <v>1736500</v>
      </c>
      <c r="G55" s="148"/>
      <c r="H55" s="149">
        <f>SUM(H57:H63)</f>
        <v>1149596.6099999999</v>
      </c>
      <c r="I55" s="149">
        <f t="shared" ref="I55:O55" si="11">SUM(I57:I63)</f>
        <v>1149596.6099999999</v>
      </c>
      <c r="J55" s="149">
        <f t="shared" si="11"/>
        <v>1149596.6099999999</v>
      </c>
      <c r="K55" s="149">
        <f t="shared" si="11"/>
        <v>1149596.6099999999</v>
      </c>
      <c r="L55" s="149">
        <f t="shared" si="11"/>
        <v>1149596.6099999999</v>
      </c>
      <c r="M55" s="149">
        <f t="shared" si="11"/>
        <v>1149596.6099999999</v>
      </c>
      <c r="N55" s="76">
        <f t="shared" si="11"/>
        <v>1149596.6099999999</v>
      </c>
      <c r="O55" s="149">
        <f t="shared" si="11"/>
        <v>1101659.08</v>
      </c>
      <c r="P55" s="76"/>
      <c r="Q55" s="92">
        <f>SUM(Q57:Q63)</f>
        <v>530092.40999999992</v>
      </c>
      <c r="R55" s="150">
        <f>F55-O55</f>
        <v>634840.91999999993</v>
      </c>
    </row>
    <row r="56" spans="1:21" ht="92.25" customHeight="1">
      <c r="E56" s="65"/>
      <c r="F56" s="648" t="s">
        <v>347</v>
      </c>
      <c r="G56" s="649"/>
      <c r="H56" s="133"/>
      <c r="I56" s="133"/>
      <c r="J56" s="133"/>
      <c r="K56" s="133"/>
      <c r="L56" s="133"/>
      <c r="M56" s="133"/>
      <c r="N56" s="134"/>
      <c r="O56" s="133"/>
      <c r="P56" s="91"/>
      <c r="Q56" s="133"/>
      <c r="R56" s="133"/>
      <c r="S56" s="151">
        <f>SUM(S57:S63)</f>
        <v>-47937.53</v>
      </c>
    </row>
    <row r="57" spans="1:21" ht="70.5" customHeight="1">
      <c r="E57" s="89">
        <v>1</v>
      </c>
      <c r="F57" s="64" t="s">
        <v>253</v>
      </c>
      <c r="G57" s="64" t="s">
        <v>255</v>
      </c>
      <c r="H57" s="64">
        <v>137255.26</v>
      </c>
      <c r="I57" s="64">
        <v>137255.26</v>
      </c>
      <c r="J57" s="64">
        <f t="shared" ref="J57:M61" si="12">H57</f>
        <v>137255.26</v>
      </c>
      <c r="K57" s="64">
        <f t="shared" si="12"/>
        <v>137255.26</v>
      </c>
      <c r="L57" s="64">
        <f t="shared" si="12"/>
        <v>137255.26</v>
      </c>
      <c r="M57" s="64">
        <f t="shared" si="12"/>
        <v>137255.26</v>
      </c>
      <c r="N57" s="152">
        <v>137255.26</v>
      </c>
      <c r="O57" s="64">
        <v>133834.04</v>
      </c>
      <c r="P57" s="91"/>
      <c r="Q57" s="104">
        <v>130873.76</v>
      </c>
      <c r="R57" s="72"/>
      <c r="S57" s="65">
        <f t="shared" ref="S57:S63" si="13">O57-H57</f>
        <v>-3421.2200000000012</v>
      </c>
    </row>
    <row r="58" spans="1:21" ht="98.25" customHeight="1">
      <c r="E58" s="89">
        <v>2</v>
      </c>
      <c r="F58" s="64" t="s">
        <v>254</v>
      </c>
      <c r="G58" s="64" t="s">
        <v>256</v>
      </c>
      <c r="H58" s="64">
        <v>282245.27</v>
      </c>
      <c r="I58" s="64">
        <v>282245.27</v>
      </c>
      <c r="J58" s="64">
        <f t="shared" si="12"/>
        <v>282245.27</v>
      </c>
      <c r="K58" s="64">
        <f t="shared" si="12"/>
        <v>282245.27</v>
      </c>
      <c r="L58" s="64">
        <f t="shared" si="12"/>
        <v>282245.27</v>
      </c>
      <c r="M58" s="64">
        <f t="shared" si="12"/>
        <v>282245.27</v>
      </c>
      <c r="N58" s="152">
        <v>282245.27</v>
      </c>
      <c r="O58" s="64">
        <v>271908.46000000002</v>
      </c>
      <c r="P58" s="91"/>
      <c r="Q58" s="104">
        <f>O58/2</f>
        <v>135954.23000000001</v>
      </c>
      <c r="R58" s="72"/>
      <c r="S58" s="65">
        <f t="shared" si="13"/>
        <v>-10336.809999999998</v>
      </c>
    </row>
    <row r="59" spans="1:21" ht="55.5" customHeight="1">
      <c r="E59" s="89">
        <v>3</v>
      </c>
      <c r="F59" s="64" t="s">
        <v>254</v>
      </c>
      <c r="G59" s="64" t="s">
        <v>257</v>
      </c>
      <c r="H59" s="64">
        <v>101739</v>
      </c>
      <c r="I59" s="64">
        <v>101739</v>
      </c>
      <c r="J59" s="64">
        <f t="shared" si="12"/>
        <v>101739</v>
      </c>
      <c r="K59" s="64">
        <f t="shared" si="12"/>
        <v>101739</v>
      </c>
      <c r="L59" s="64">
        <f t="shared" si="12"/>
        <v>101739</v>
      </c>
      <c r="M59" s="64">
        <f t="shared" si="12"/>
        <v>101739</v>
      </c>
      <c r="N59" s="152">
        <v>101739</v>
      </c>
      <c r="O59" s="64">
        <v>101391.5</v>
      </c>
      <c r="P59" s="91"/>
      <c r="Q59" s="104">
        <v>50695.75</v>
      </c>
      <c r="R59" s="72"/>
      <c r="S59" s="65">
        <f t="shared" si="13"/>
        <v>-347.5</v>
      </c>
    </row>
    <row r="60" spans="1:21" ht="55.5" customHeight="1">
      <c r="E60" s="89">
        <v>4</v>
      </c>
      <c r="F60" s="64" t="s">
        <v>254</v>
      </c>
      <c r="G60" s="64" t="s">
        <v>258</v>
      </c>
      <c r="H60" s="64">
        <v>172331.93</v>
      </c>
      <c r="I60" s="64">
        <v>172331.93</v>
      </c>
      <c r="J60" s="64">
        <f t="shared" si="12"/>
        <v>172331.93</v>
      </c>
      <c r="K60" s="64">
        <f t="shared" si="12"/>
        <v>172331.93</v>
      </c>
      <c r="L60" s="64">
        <f t="shared" si="12"/>
        <v>172331.93</v>
      </c>
      <c r="M60" s="64">
        <f t="shared" si="12"/>
        <v>172331.93</v>
      </c>
      <c r="N60" s="152">
        <v>172331.93</v>
      </c>
      <c r="O60" s="64">
        <v>169387.71</v>
      </c>
      <c r="P60" s="91"/>
      <c r="Q60" s="104">
        <v>0</v>
      </c>
      <c r="R60" s="72"/>
      <c r="S60" s="65">
        <f t="shared" si="13"/>
        <v>-2944.2200000000012</v>
      </c>
    </row>
    <row r="61" spans="1:21" ht="55.5" customHeight="1">
      <c r="E61" s="89">
        <v>5</v>
      </c>
      <c r="F61" s="64" t="s">
        <v>254</v>
      </c>
      <c r="G61" s="64" t="s">
        <v>259</v>
      </c>
      <c r="H61" s="64">
        <v>273775.49</v>
      </c>
      <c r="I61" s="64">
        <v>273775.49</v>
      </c>
      <c r="J61" s="64">
        <f t="shared" si="12"/>
        <v>273775.49</v>
      </c>
      <c r="K61" s="64">
        <f t="shared" si="12"/>
        <v>273775.49</v>
      </c>
      <c r="L61" s="64">
        <f t="shared" si="12"/>
        <v>273775.49</v>
      </c>
      <c r="M61" s="64">
        <f t="shared" si="12"/>
        <v>273775.49</v>
      </c>
      <c r="N61" s="152">
        <v>273775.49</v>
      </c>
      <c r="O61" s="64">
        <v>243884.5</v>
      </c>
      <c r="P61" s="91"/>
      <c r="Q61" s="104">
        <v>121942.24</v>
      </c>
      <c r="R61" s="72"/>
      <c r="S61" s="65">
        <f t="shared" si="13"/>
        <v>-29890.989999999991</v>
      </c>
    </row>
    <row r="62" spans="1:21" ht="55.5" customHeight="1">
      <c r="E62" s="89"/>
      <c r="F62" s="648" t="s">
        <v>348</v>
      </c>
      <c r="G62" s="649"/>
      <c r="H62" s="64"/>
      <c r="I62" s="64"/>
      <c r="J62" s="64"/>
      <c r="K62" s="64"/>
      <c r="L62" s="64"/>
      <c r="M62" s="64"/>
      <c r="N62" s="152"/>
      <c r="O62" s="64"/>
      <c r="P62" s="91"/>
      <c r="Q62" s="104"/>
      <c r="R62" s="72"/>
      <c r="S62" s="65">
        <f t="shared" si="13"/>
        <v>0</v>
      </c>
    </row>
    <row r="63" spans="1:21" ht="55.5" customHeight="1">
      <c r="E63" s="89">
        <v>6</v>
      </c>
      <c r="F63" s="64" t="s">
        <v>253</v>
      </c>
      <c r="G63" s="64" t="s">
        <v>260</v>
      </c>
      <c r="H63" s="64">
        <v>182249.66</v>
      </c>
      <c r="I63" s="64">
        <v>182249.66</v>
      </c>
      <c r="J63" s="64">
        <v>182249.66</v>
      </c>
      <c r="K63" s="64">
        <v>182249.66</v>
      </c>
      <c r="L63" s="64">
        <v>182249.66</v>
      </c>
      <c r="M63" s="64">
        <v>182249.66</v>
      </c>
      <c r="N63" s="152">
        <v>182249.66</v>
      </c>
      <c r="O63" s="64">
        <v>181252.87</v>
      </c>
      <c r="P63" s="91"/>
      <c r="Q63" s="104">
        <v>90626.43</v>
      </c>
      <c r="R63" s="72"/>
      <c r="S63" s="65">
        <f t="shared" si="13"/>
        <v>-996.79000000000815</v>
      </c>
    </row>
    <row r="64" spans="1:21" ht="55.5" customHeight="1">
      <c r="E64" s="127" t="s">
        <v>73</v>
      </c>
      <c r="F64" s="153">
        <v>150000</v>
      </c>
      <c r="G64" s="154"/>
      <c r="H64" s="76">
        <f>SUM(H66:H71)</f>
        <v>163371.15</v>
      </c>
      <c r="I64" s="76">
        <f>SUM(I66:I71)</f>
        <v>163371.15</v>
      </c>
      <c r="J64" s="76">
        <f>SUM(J66:J71)</f>
        <v>147584.49</v>
      </c>
      <c r="K64" s="76">
        <f>SUM(K66:K71)</f>
        <v>147584.49</v>
      </c>
      <c r="L64" s="76">
        <f t="shared" ref="L64:Q64" si="14">SUM(L66:L71)</f>
        <v>147584.49</v>
      </c>
      <c r="M64" s="76">
        <f t="shared" si="14"/>
        <v>147584.49</v>
      </c>
      <c r="N64" s="76">
        <f t="shared" si="14"/>
        <v>27140</v>
      </c>
      <c r="O64" s="76">
        <f t="shared" si="14"/>
        <v>27140</v>
      </c>
      <c r="P64" s="76"/>
      <c r="Q64" s="155">
        <f t="shared" si="14"/>
        <v>0</v>
      </c>
      <c r="R64" s="156">
        <f>F64-M64</f>
        <v>2415.5100000000093</v>
      </c>
    </row>
    <row r="65" spans="5:21" ht="55.5" customHeight="1">
      <c r="E65" s="65"/>
      <c r="F65" s="644" t="s">
        <v>349</v>
      </c>
      <c r="G65" s="645"/>
      <c r="H65" s="157"/>
      <c r="I65" s="157"/>
      <c r="J65" s="157"/>
      <c r="K65" s="157"/>
      <c r="L65" s="157"/>
      <c r="M65" s="157"/>
      <c r="N65" s="157"/>
      <c r="O65" s="157"/>
      <c r="P65" s="91">
        <f t="shared" si="4"/>
        <v>0</v>
      </c>
      <c r="Q65" s="158"/>
      <c r="R65" s="157"/>
    </row>
    <row r="66" spans="5:21" ht="73.5" customHeight="1">
      <c r="E66" s="89">
        <v>1</v>
      </c>
      <c r="F66" s="159" t="s">
        <v>328</v>
      </c>
      <c r="G66" s="159" t="s">
        <v>303</v>
      </c>
      <c r="H66" s="143">
        <v>29298</v>
      </c>
      <c r="I66" s="143">
        <v>29298</v>
      </c>
      <c r="J66" s="143">
        <v>29298</v>
      </c>
      <c r="K66" s="143">
        <v>29298</v>
      </c>
      <c r="L66" s="143">
        <v>29298</v>
      </c>
      <c r="M66" s="143">
        <v>29298</v>
      </c>
      <c r="N66" s="144">
        <v>0</v>
      </c>
      <c r="O66" s="144">
        <v>0</v>
      </c>
      <c r="P66" s="91">
        <f t="shared" si="4"/>
        <v>0</v>
      </c>
      <c r="Q66" s="104">
        <v>0</v>
      </c>
      <c r="R66" s="72"/>
    </row>
    <row r="67" spans="5:21" ht="55.5" customHeight="1">
      <c r="E67" s="89">
        <v>2</v>
      </c>
      <c r="F67" s="159" t="s">
        <v>329</v>
      </c>
      <c r="G67" s="159" t="s">
        <v>304</v>
      </c>
      <c r="H67" s="143">
        <v>26750</v>
      </c>
      <c r="I67" s="143">
        <v>26750</v>
      </c>
      <c r="J67" s="143">
        <v>26750</v>
      </c>
      <c r="K67" s="143">
        <v>26750</v>
      </c>
      <c r="L67" s="143">
        <v>26750</v>
      </c>
      <c r="M67" s="143">
        <v>26750</v>
      </c>
      <c r="N67" s="144">
        <v>0</v>
      </c>
      <c r="O67" s="144">
        <v>0</v>
      </c>
      <c r="P67" s="91">
        <f t="shared" si="4"/>
        <v>0</v>
      </c>
      <c r="Q67" s="104">
        <v>0</v>
      </c>
      <c r="R67" s="72"/>
    </row>
    <row r="68" spans="5:21" ht="55.5" customHeight="1">
      <c r="E68" s="89">
        <v>3</v>
      </c>
      <c r="F68" s="159" t="s">
        <v>253</v>
      </c>
      <c r="G68" s="159" t="s">
        <v>305</v>
      </c>
      <c r="H68" s="143">
        <v>29400</v>
      </c>
      <c r="I68" s="143">
        <v>29400</v>
      </c>
      <c r="J68" s="143">
        <v>29400</v>
      </c>
      <c r="K68" s="143">
        <v>29400</v>
      </c>
      <c r="L68" s="143">
        <v>29400</v>
      </c>
      <c r="M68" s="143">
        <v>29400</v>
      </c>
      <c r="N68" s="144">
        <v>0</v>
      </c>
      <c r="O68" s="144">
        <v>0</v>
      </c>
      <c r="P68" s="91">
        <f t="shared" si="4"/>
        <v>0</v>
      </c>
      <c r="Q68" s="104">
        <v>0</v>
      </c>
      <c r="R68" s="72"/>
    </row>
    <row r="69" spans="5:21" ht="55.5" customHeight="1">
      <c r="E69" s="89">
        <v>4</v>
      </c>
      <c r="F69" s="159" t="s">
        <v>330</v>
      </c>
      <c r="G69" s="159" t="s">
        <v>306</v>
      </c>
      <c r="H69" s="160">
        <v>27140</v>
      </c>
      <c r="I69" s="160">
        <v>27140</v>
      </c>
      <c r="J69" s="160">
        <v>27140</v>
      </c>
      <c r="K69" s="160">
        <v>27140</v>
      </c>
      <c r="L69" s="160">
        <v>27140</v>
      </c>
      <c r="M69" s="160">
        <v>27140</v>
      </c>
      <c r="N69" s="161">
        <v>27140</v>
      </c>
      <c r="O69" s="160">
        <v>27140</v>
      </c>
      <c r="P69" s="91"/>
      <c r="Q69" s="104">
        <v>0</v>
      </c>
      <c r="R69" s="72"/>
    </row>
    <row r="70" spans="5:21" ht="55.5" customHeight="1">
      <c r="E70" s="89">
        <v>5</v>
      </c>
      <c r="F70" s="159" t="s">
        <v>330</v>
      </c>
      <c r="G70" s="159" t="s">
        <v>307</v>
      </c>
      <c r="H70" s="143">
        <v>25621.49</v>
      </c>
      <c r="I70" s="143">
        <v>25621.49</v>
      </c>
      <c r="J70" s="143">
        <v>25621.49</v>
      </c>
      <c r="K70" s="143">
        <v>25621.49</v>
      </c>
      <c r="L70" s="143">
        <v>25621.49</v>
      </c>
      <c r="M70" s="143">
        <v>25621.49</v>
      </c>
      <c r="N70" s="144">
        <v>0</v>
      </c>
      <c r="O70" s="144">
        <v>0</v>
      </c>
      <c r="P70" s="91">
        <f t="shared" si="4"/>
        <v>0</v>
      </c>
      <c r="Q70" s="104">
        <v>0</v>
      </c>
      <c r="R70" s="72"/>
      <c r="U70" s="146"/>
    </row>
    <row r="71" spans="5:21" ht="55.5" customHeight="1">
      <c r="E71" s="89">
        <v>6</v>
      </c>
      <c r="F71" s="159" t="s">
        <v>253</v>
      </c>
      <c r="G71" s="159" t="s">
        <v>308</v>
      </c>
      <c r="H71" s="143">
        <v>25161.66</v>
      </c>
      <c r="I71" s="143">
        <v>25161.66</v>
      </c>
      <c r="J71" s="143">
        <v>9375</v>
      </c>
      <c r="K71" s="143">
        <v>9375</v>
      </c>
      <c r="L71" s="143">
        <v>9375</v>
      </c>
      <c r="M71" s="143">
        <v>9375</v>
      </c>
      <c r="N71" s="144">
        <v>0</v>
      </c>
      <c r="O71" s="144">
        <v>0</v>
      </c>
      <c r="P71" s="91">
        <f t="shared" si="4"/>
        <v>0</v>
      </c>
      <c r="Q71" s="104">
        <v>0</v>
      </c>
      <c r="R71" s="72"/>
      <c r="U71" s="146"/>
    </row>
    <row r="72" spans="5:21" ht="55.5" hidden="1" customHeight="1">
      <c r="E72" s="89" t="s">
        <v>61</v>
      </c>
      <c r="F72" s="71"/>
      <c r="G72" s="71"/>
      <c r="H72" s="71"/>
      <c r="I72" s="71"/>
      <c r="J72" s="71"/>
      <c r="K72" s="71"/>
      <c r="L72" s="71"/>
      <c r="M72" s="71"/>
      <c r="N72" s="78"/>
      <c r="O72" s="71"/>
      <c r="P72" s="91">
        <f t="shared" si="4"/>
        <v>0</v>
      </c>
      <c r="Q72" s="104">
        <v>0</v>
      </c>
      <c r="R72" s="72"/>
    </row>
    <row r="73" spans="5:21" ht="55.5" hidden="1" customHeight="1" thickBot="1">
      <c r="E73" s="89" t="s">
        <v>60</v>
      </c>
      <c r="F73" s="71"/>
      <c r="G73" s="71"/>
      <c r="H73" s="71"/>
      <c r="I73" s="71"/>
      <c r="J73" s="71"/>
      <c r="K73" s="71"/>
      <c r="L73" s="71"/>
      <c r="M73" s="71"/>
      <c r="N73" s="78"/>
      <c r="O73" s="71"/>
      <c r="P73" s="91">
        <f t="shared" si="4"/>
        <v>0</v>
      </c>
      <c r="Q73" s="104">
        <v>0</v>
      </c>
      <c r="R73" s="72"/>
    </row>
    <row r="74" spans="5:21" ht="55.5" hidden="1" customHeight="1" thickBot="1">
      <c r="E74" s="89" t="s">
        <v>62</v>
      </c>
      <c r="F74" s="71"/>
      <c r="G74" s="71"/>
      <c r="H74" s="71"/>
      <c r="I74" s="71"/>
      <c r="J74" s="71"/>
      <c r="K74" s="71"/>
      <c r="L74" s="71"/>
      <c r="M74" s="71"/>
      <c r="N74" s="78"/>
      <c r="O74" s="71"/>
      <c r="P74" s="91">
        <f t="shared" si="4"/>
        <v>0</v>
      </c>
      <c r="Q74" s="104">
        <v>0</v>
      </c>
      <c r="R74" s="72"/>
    </row>
    <row r="75" spans="5:21" ht="55.5" hidden="1" customHeight="1" thickBot="1">
      <c r="E75" s="89" t="s">
        <v>60</v>
      </c>
      <c r="F75" s="71"/>
      <c r="G75" s="71"/>
      <c r="H75" s="71"/>
      <c r="I75" s="71"/>
      <c r="J75" s="71"/>
      <c r="K75" s="71"/>
      <c r="L75" s="71"/>
      <c r="M75" s="71"/>
      <c r="N75" s="78"/>
      <c r="O75" s="71"/>
      <c r="P75" s="91">
        <f t="shared" si="4"/>
        <v>0</v>
      </c>
      <c r="Q75" s="104">
        <v>0</v>
      </c>
      <c r="R75" s="72"/>
    </row>
    <row r="76" spans="5:21" ht="55.5" hidden="1" customHeight="1" thickBot="1">
      <c r="E76" s="89" t="s">
        <v>63</v>
      </c>
      <c r="F76" s="71"/>
      <c r="G76" s="71"/>
      <c r="H76" s="71"/>
      <c r="I76" s="71"/>
      <c r="J76" s="71"/>
      <c r="K76" s="71"/>
      <c r="L76" s="71"/>
      <c r="M76" s="71"/>
      <c r="N76" s="78"/>
      <c r="O76" s="71"/>
      <c r="P76" s="91">
        <f t="shared" si="4"/>
        <v>0</v>
      </c>
      <c r="Q76" s="104">
        <v>0</v>
      </c>
      <c r="R76" s="72"/>
    </row>
    <row r="77" spans="5:21" ht="55.5" hidden="1" customHeight="1" thickBot="1">
      <c r="E77" s="89" t="s">
        <v>60</v>
      </c>
      <c r="F77" s="71"/>
      <c r="G77" s="71"/>
      <c r="H77" s="71"/>
      <c r="I77" s="71"/>
      <c r="J77" s="71"/>
      <c r="K77" s="71"/>
      <c r="L77" s="71"/>
      <c r="M77" s="71"/>
      <c r="N77" s="78"/>
      <c r="O77" s="71"/>
      <c r="P77" s="91">
        <f t="shared" si="4"/>
        <v>0</v>
      </c>
      <c r="Q77" s="104">
        <v>0</v>
      </c>
      <c r="R77" s="72"/>
    </row>
    <row r="78" spans="5:21" ht="55.5" hidden="1" customHeight="1" thickBot="1">
      <c r="E78" s="89" t="s">
        <v>64</v>
      </c>
      <c r="F78" s="71"/>
      <c r="G78" s="71"/>
      <c r="H78" s="71"/>
      <c r="I78" s="71"/>
      <c r="J78" s="71"/>
      <c r="K78" s="71"/>
      <c r="L78" s="71"/>
      <c r="M78" s="71"/>
      <c r="N78" s="78"/>
      <c r="O78" s="71"/>
      <c r="P78" s="91">
        <f t="shared" si="4"/>
        <v>0</v>
      </c>
      <c r="Q78" s="104">
        <v>0</v>
      </c>
      <c r="R78" s="72"/>
    </row>
    <row r="79" spans="5:21" ht="55.5" hidden="1" customHeight="1" thickBot="1">
      <c r="E79" s="89" t="s">
        <v>60</v>
      </c>
      <c r="F79" s="71"/>
      <c r="G79" s="71"/>
      <c r="H79" s="71"/>
      <c r="I79" s="71"/>
      <c r="J79" s="71"/>
      <c r="K79" s="71"/>
      <c r="L79" s="71"/>
      <c r="M79" s="71"/>
      <c r="N79" s="78"/>
      <c r="O79" s="71"/>
      <c r="P79" s="91">
        <f t="shared" si="4"/>
        <v>0</v>
      </c>
      <c r="Q79" s="104">
        <v>0</v>
      </c>
      <c r="R79" s="72"/>
    </row>
    <row r="80" spans="5:21" ht="55.5" hidden="1" customHeight="1" thickBot="1">
      <c r="E80" s="89" t="s">
        <v>65</v>
      </c>
      <c r="F80" s="71"/>
      <c r="G80" s="71"/>
      <c r="H80" s="71"/>
      <c r="I80" s="71"/>
      <c r="J80" s="71"/>
      <c r="K80" s="71"/>
      <c r="L80" s="71"/>
      <c r="M80" s="71"/>
      <c r="N80" s="78"/>
      <c r="O80" s="71"/>
      <c r="P80" s="91">
        <f t="shared" si="4"/>
        <v>0</v>
      </c>
      <c r="Q80" s="104">
        <v>0</v>
      </c>
      <c r="R80" s="72"/>
    </row>
    <row r="81" spans="5:18" ht="55.5" hidden="1" customHeight="1" thickBot="1">
      <c r="E81" s="89" t="s">
        <v>60</v>
      </c>
      <c r="F81" s="71"/>
      <c r="G81" s="71"/>
      <c r="H81" s="71"/>
      <c r="I81" s="71"/>
      <c r="J81" s="71"/>
      <c r="K81" s="71"/>
      <c r="L81" s="71"/>
      <c r="M81" s="71"/>
      <c r="N81" s="78"/>
      <c r="O81" s="71"/>
      <c r="P81" s="91">
        <f t="shared" si="4"/>
        <v>0</v>
      </c>
      <c r="Q81" s="104">
        <v>0</v>
      </c>
      <c r="R81" s="72"/>
    </row>
    <row r="82" spans="5:18" ht="55.5" hidden="1" customHeight="1" thickBot="1">
      <c r="E82" s="89" t="s">
        <v>66</v>
      </c>
      <c r="F82" s="71"/>
      <c r="G82" s="71"/>
      <c r="H82" s="71"/>
      <c r="I82" s="71"/>
      <c r="J82" s="71"/>
      <c r="K82" s="71"/>
      <c r="L82" s="71"/>
      <c r="M82" s="71"/>
      <c r="N82" s="78"/>
      <c r="O82" s="71"/>
      <c r="P82" s="91">
        <f t="shared" si="4"/>
        <v>0</v>
      </c>
      <c r="Q82" s="104">
        <v>0</v>
      </c>
      <c r="R82" s="72"/>
    </row>
    <row r="83" spans="5:18" ht="55.5" hidden="1" customHeight="1" thickBot="1">
      <c r="E83" s="89" t="s">
        <v>60</v>
      </c>
      <c r="F83" s="71"/>
      <c r="G83" s="71"/>
      <c r="H83" s="71"/>
      <c r="I83" s="71"/>
      <c r="J83" s="71"/>
      <c r="K83" s="71"/>
      <c r="L83" s="71"/>
      <c r="M83" s="71"/>
      <c r="N83" s="78"/>
      <c r="O83" s="71"/>
      <c r="P83" s="91">
        <f t="shared" si="4"/>
        <v>0</v>
      </c>
      <c r="Q83" s="104">
        <v>0</v>
      </c>
      <c r="R83" s="72"/>
    </row>
    <row r="84" spans="5:18" ht="55.5" hidden="1" customHeight="1" thickBot="1">
      <c r="E84" s="89" t="s">
        <v>67</v>
      </c>
      <c r="F84" s="71"/>
      <c r="G84" s="71"/>
      <c r="H84" s="71"/>
      <c r="I84" s="71"/>
      <c r="J84" s="71"/>
      <c r="K84" s="71"/>
      <c r="L84" s="71"/>
      <c r="M84" s="71"/>
      <c r="N84" s="78"/>
      <c r="O84" s="71"/>
      <c r="P84" s="91">
        <f t="shared" si="4"/>
        <v>0</v>
      </c>
      <c r="Q84" s="104">
        <v>0</v>
      </c>
      <c r="R84" s="72"/>
    </row>
    <row r="85" spans="5:18" ht="55.5" hidden="1" customHeight="1" thickBot="1">
      <c r="E85" s="89" t="s">
        <v>60</v>
      </c>
      <c r="F85" s="71"/>
      <c r="G85" s="71"/>
      <c r="H85" s="71"/>
      <c r="I85" s="71"/>
      <c r="J85" s="71"/>
      <c r="K85" s="71"/>
      <c r="L85" s="71"/>
      <c r="M85" s="71"/>
      <c r="N85" s="78"/>
      <c r="O85" s="71"/>
      <c r="P85" s="91">
        <f t="shared" si="4"/>
        <v>0</v>
      </c>
      <c r="Q85" s="104">
        <v>0</v>
      </c>
      <c r="R85" s="72"/>
    </row>
    <row r="86" spans="5:18" ht="55.5" customHeight="1" thickBot="1">
      <c r="E86" s="162" t="s">
        <v>68</v>
      </c>
      <c r="F86" s="163"/>
      <c r="G86" s="36"/>
      <c r="H86" s="164">
        <f>H64+H55+H38+H30+H6</f>
        <v>4936514.4499999993</v>
      </c>
      <c r="I86" s="164">
        <f>I64+I55+I38+I30+I6</f>
        <v>3337807.6669999994</v>
      </c>
      <c r="J86" s="164">
        <f t="shared" ref="J86:O86" si="15">J64+J55+J38+J30+J6</f>
        <v>4212728.33</v>
      </c>
      <c r="K86" s="164">
        <f t="shared" si="15"/>
        <v>2904506.574</v>
      </c>
      <c r="L86" s="164">
        <f t="shared" si="15"/>
        <v>4212728.33</v>
      </c>
      <c r="M86" s="164">
        <f t="shared" si="15"/>
        <v>2904506.574</v>
      </c>
      <c r="N86" s="164">
        <f t="shared" si="15"/>
        <v>3913810.54</v>
      </c>
      <c r="O86" s="164">
        <f t="shared" si="15"/>
        <v>2638430.4539999999</v>
      </c>
      <c r="P86" s="164"/>
      <c r="Q86" s="164">
        <f>Q64+Q55+Q38+Q30+Q6</f>
        <v>811156.42999999993</v>
      </c>
      <c r="R86" s="164">
        <f>R64+R55+R38+R30+R6</f>
        <v>881009.19600000011</v>
      </c>
    </row>
    <row r="87" spans="5:18" ht="55.5" customHeight="1">
      <c r="E87" s="165">
        <f>E71+E63+E54+E37+E29</f>
        <v>47</v>
      </c>
      <c r="F87" s="166">
        <f>F64+F55+F38+F30+F6</f>
        <v>3732000</v>
      </c>
    </row>
    <row r="88" spans="5:18" ht="55.5" customHeight="1">
      <c r="E88" s="139">
        <f>E95+E101+E107+E113+E120</f>
        <v>28</v>
      </c>
      <c r="F88" s="167" t="s">
        <v>350</v>
      </c>
    </row>
    <row r="89" spans="5:18" ht="55.5" customHeight="1">
      <c r="E89" s="139">
        <v>8</v>
      </c>
      <c r="F89" s="167" t="s">
        <v>351</v>
      </c>
    </row>
    <row r="90" spans="5:18" ht="55.5" customHeight="1">
      <c r="E90" s="139">
        <v>7</v>
      </c>
      <c r="F90" s="167" t="s">
        <v>352</v>
      </c>
    </row>
    <row r="91" spans="5:18" ht="55.5" customHeight="1">
      <c r="E91" s="139">
        <v>4</v>
      </c>
      <c r="F91" s="167" t="s">
        <v>353</v>
      </c>
    </row>
    <row r="92" spans="5:18" ht="55.5" customHeight="1">
      <c r="E92" s="139">
        <v>4</v>
      </c>
      <c r="F92" s="167" t="s">
        <v>354</v>
      </c>
    </row>
    <row r="93" spans="5:18" ht="55.5" customHeight="1">
      <c r="E93" s="168">
        <f>F6</f>
        <v>1018400</v>
      </c>
      <c r="F93" s="169" t="s">
        <v>290</v>
      </c>
      <c r="G93" s="65" t="s">
        <v>355</v>
      </c>
      <c r="H93" s="65" t="s">
        <v>356</v>
      </c>
      <c r="I93" s="65" t="s">
        <v>357</v>
      </c>
      <c r="J93" s="65" t="s">
        <v>358</v>
      </c>
      <c r="K93" s="65" t="s">
        <v>359</v>
      </c>
    </row>
    <row r="94" spans="5:18" ht="55.5" customHeight="1">
      <c r="E94" s="165">
        <f>E29</f>
        <v>18</v>
      </c>
      <c r="F94" s="170" t="s">
        <v>360</v>
      </c>
      <c r="G94" s="65">
        <f>H6</f>
        <v>2013160.6599999997</v>
      </c>
      <c r="H94" s="65">
        <f>I6</f>
        <v>967891.26</v>
      </c>
      <c r="I94" s="65">
        <f>M6</f>
        <v>908091.26</v>
      </c>
    </row>
    <row r="95" spans="5:18" ht="55.5" customHeight="1">
      <c r="E95" s="165">
        <v>16</v>
      </c>
      <c r="F95" s="171" t="s">
        <v>361</v>
      </c>
    </row>
    <row r="96" spans="5:18" ht="55.5" customHeight="1">
      <c r="E96" s="139">
        <v>3</v>
      </c>
      <c r="F96" s="167" t="s">
        <v>354</v>
      </c>
      <c r="J96" s="65">
        <f>V9+V10+V13</f>
        <v>170942.62</v>
      </c>
    </row>
    <row r="97" spans="5:11" ht="55.5" customHeight="1">
      <c r="E97" s="139">
        <v>7</v>
      </c>
      <c r="F97" s="167" t="s">
        <v>362</v>
      </c>
      <c r="K97" s="65">
        <f>Q14+Q15+Q16+Q18+Q19+Q20+Q21+Q22</f>
        <v>268145.62</v>
      </c>
    </row>
    <row r="98" spans="5:11" ht="55.5" customHeight="1">
      <c r="E98" s="139">
        <v>1</v>
      </c>
      <c r="F98" s="167" t="s">
        <v>352</v>
      </c>
    </row>
    <row r="99" spans="5:11" ht="55.5" customHeight="1">
      <c r="E99" s="168">
        <v>41600</v>
      </c>
      <c r="F99" s="169" t="s">
        <v>363</v>
      </c>
      <c r="G99" s="65" t="s">
        <v>355</v>
      </c>
      <c r="H99" s="65" t="s">
        <v>356</v>
      </c>
      <c r="I99" s="65" t="s">
        <v>357</v>
      </c>
      <c r="J99" s="65" t="s">
        <v>358</v>
      </c>
      <c r="K99" s="65" t="s">
        <v>359</v>
      </c>
    </row>
    <row r="100" spans="5:11" ht="55.5" customHeight="1">
      <c r="E100" s="165">
        <v>5</v>
      </c>
      <c r="F100" s="172" t="s">
        <v>360</v>
      </c>
      <c r="G100" s="65">
        <f>H30</f>
        <v>350668.32</v>
      </c>
      <c r="H100" s="65">
        <f>I30</f>
        <v>175334.19</v>
      </c>
      <c r="I100" s="65">
        <v>41600</v>
      </c>
    </row>
    <row r="101" spans="5:11" ht="55.5" customHeight="1">
      <c r="E101" s="165">
        <v>1</v>
      </c>
      <c r="F101" s="171" t="s">
        <v>361</v>
      </c>
    </row>
    <row r="102" spans="5:11" ht="55.5" customHeight="1">
      <c r="E102" s="139">
        <v>1</v>
      </c>
      <c r="F102" s="167" t="s">
        <v>354</v>
      </c>
      <c r="J102" s="65">
        <v>41600</v>
      </c>
    </row>
    <row r="103" spans="5:11" ht="55.5" customHeight="1">
      <c r="E103" s="139">
        <v>1</v>
      </c>
      <c r="F103" s="167" t="s">
        <v>352</v>
      </c>
    </row>
    <row r="104" spans="5:11" ht="55.5" customHeight="1">
      <c r="E104" s="139">
        <v>3</v>
      </c>
      <c r="F104" s="167" t="s">
        <v>364</v>
      </c>
    </row>
    <row r="105" spans="5:11" ht="55.5" customHeight="1">
      <c r="E105" s="168">
        <f>F38</f>
        <v>785500</v>
      </c>
      <c r="F105" s="169" t="s">
        <v>301</v>
      </c>
    </row>
    <row r="106" spans="5:11" ht="55.5" customHeight="1">
      <c r="E106" s="173">
        <f>E54</f>
        <v>12</v>
      </c>
      <c r="F106" s="172" t="s">
        <v>360</v>
      </c>
      <c r="G106" s="165">
        <f>H38</f>
        <v>1259717.71</v>
      </c>
      <c r="H106" s="165">
        <f>I55</f>
        <v>1149596.6099999999</v>
      </c>
      <c r="I106" s="146">
        <f>K55</f>
        <v>1149596.6099999999</v>
      </c>
    </row>
    <row r="107" spans="5:11" ht="55.5" customHeight="1">
      <c r="E107" s="165">
        <v>4</v>
      </c>
      <c r="F107" s="171" t="s">
        <v>361</v>
      </c>
    </row>
    <row r="108" spans="5:11" ht="55.5" customHeight="1">
      <c r="E108" s="139">
        <v>1</v>
      </c>
      <c r="F108" s="167" t="s">
        <v>365</v>
      </c>
      <c r="J108" s="65">
        <f>Q47</f>
        <v>10718.4</v>
      </c>
    </row>
    <row r="109" spans="5:11" ht="55.5" customHeight="1">
      <c r="E109" s="139">
        <v>1</v>
      </c>
      <c r="F109" s="167" t="s">
        <v>352</v>
      </c>
    </row>
    <row r="110" spans="5:11" ht="55.5" customHeight="1">
      <c r="E110" s="139">
        <v>1</v>
      </c>
      <c r="F110" s="167" t="s">
        <v>366</v>
      </c>
    </row>
    <row r="111" spans="5:11" ht="55.5" customHeight="1">
      <c r="E111" s="174">
        <f>F55</f>
        <v>1736500</v>
      </c>
      <c r="F111" s="175" t="s">
        <v>302</v>
      </c>
    </row>
    <row r="112" spans="5:11" ht="55.5" customHeight="1">
      <c r="E112" s="139">
        <v>6</v>
      </c>
      <c r="F112" s="172" t="s">
        <v>360</v>
      </c>
      <c r="G112" s="146">
        <f>H55</f>
        <v>1149596.6099999999</v>
      </c>
      <c r="H112" s="146">
        <f>I55</f>
        <v>1149596.6099999999</v>
      </c>
      <c r="I112" s="146">
        <f>H112</f>
        <v>1149596.6099999999</v>
      </c>
    </row>
    <row r="113" spans="5:10" ht="55.5" customHeight="1">
      <c r="E113" s="139">
        <v>6</v>
      </c>
      <c r="F113" s="171" t="s">
        <v>361</v>
      </c>
    </row>
    <row r="114" spans="5:10" ht="55.5" customHeight="1">
      <c r="E114" s="139">
        <v>1</v>
      </c>
      <c r="F114" s="167" t="s">
        <v>365</v>
      </c>
      <c r="J114" s="65">
        <f>Q55</f>
        <v>530092.40999999992</v>
      </c>
    </row>
    <row r="115" spans="5:10" ht="55.5" customHeight="1">
      <c r="E115" s="139">
        <v>1</v>
      </c>
      <c r="F115" s="167" t="s">
        <v>352</v>
      </c>
    </row>
    <row r="116" spans="5:10" ht="55.5" customHeight="1">
      <c r="E116" s="139">
        <v>1</v>
      </c>
      <c r="F116" s="167" t="s">
        <v>366</v>
      </c>
    </row>
    <row r="117" spans="5:10" ht="55.5" customHeight="1">
      <c r="E117" s="139">
        <v>0</v>
      </c>
      <c r="F117" s="167" t="s">
        <v>354</v>
      </c>
    </row>
    <row r="118" spans="5:10" ht="55.5" customHeight="1">
      <c r="E118" s="174">
        <f>F64</f>
        <v>150000</v>
      </c>
      <c r="F118" s="176">
        <v>38917</v>
      </c>
    </row>
    <row r="119" spans="5:10" ht="55.5" customHeight="1">
      <c r="E119" s="139">
        <v>6</v>
      </c>
      <c r="F119" s="172" t="s">
        <v>360</v>
      </c>
      <c r="G119" s="146">
        <f>H64</f>
        <v>163371.15</v>
      </c>
      <c r="H119" s="146">
        <f>I64</f>
        <v>163371.15</v>
      </c>
    </row>
    <row r="120" spans="5:10" ht="55.5" customHeight="1">
      <c r="E120" s="139">
        <v>1</v>
      </c>
      <c r="F120" s="171" t="s">
        <v>361</v>
      </c>
      <c r="I120" s="146">
        <f>O69</f>
        <v>27140</v>
      </c>
    </row>
    <row r="121" spans="5:10" ht="55.5" customHeight="1">
      <c r="E121" s="139">
        <v>0</v>
      </c>
      <c r="F121" s="167" t="s">
        <v>354</v>
      </c>
    </row>
    <row r="122" spans="5:10" ht="55.5" customHeight="1">
      <c r="E122" s="177">
        <f>E118+E111+E105+E99+E93</f>
        <v>3732000</v>
      </c>
      <c r="F122" s="177">
        <f>E120+E113+E107+E101+E95</f>
        <v>28</v>
      </c>
    </row>
    <row r="124" spans="5:10" ht="55.5" customHeight="1">
      <c r="E124" s="173">
        <v>8</v>
      </c>
      <c r="F124" s="65" t="s">
        <v>367</v>
      </c>
      <c r="I124" s="146">
        <f>U71+U70+U68+U67+U66+U44+U42+U41</f>
        <v>76864.47</v>
      </c>
    </row>
  </sheetData>
  <mergeCells count="26">
    <mergeCell ref="E1:Q1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Q2:Q3"/>
    <mergeCell ref="R2:R3"/>
    <mergeCell ref="F7:G7"/>
    <mergeCell ref="F25:G25"/>
    <mergeCell ref="F28:G28"/>
    <mergeCell ref="F31:G31"/>
    <mergeCell ref="F35:G35"/>
    <mergeCell ref="F36:G36"/>
    <mergeCell ref="F39:G39"/>
    <mergeCell ref="F65:G65"/>
    <mergeCell ref="F46:G46"/>
    <mergeCell ref="F49:G49"/>
    <mergeCell ref="F51:G51"/>
    <mergeCell ref="F56:G56"/>
    <mergeCell ref="F62:G62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O6" sqref="O6"/>
    </sheetView>
  </sheetViews>
  <sheetFormatPr defaultRowHeight="14.4"/>
  <cols>
    <col min="1" max="1" width="15.5546875" customWidth="1"/>
    <col min="7" max="7" width="13.44140625" bestFit="1" customWidth="1"/>
    <col min="10" max="10" width="13.44140625" bestFit="1" customWidth="1"/>
  </cols>
  <sheetData>
    <row r="1" spans="1:11" ht="31.5" customHeight="1" thickBot="1">
      <c r="A1" s="572"/>
      <c r="B1" s="574" t="s">
        <v>22</v>
      </c>
      <c r="C1" s="538" t="s">
        <v>23</v>
      </c>
      <c r="D1" s="539"/>
      <c r="E1" s="540"/>
      <c r="F1" s="538" t="s">
        <v>369</v>
      </c>
      <c r="G1" s="539"/>
      <c r="H1" s="540"/>
      <c r="I1" s="674" t="s">
        <v>370</v>
      </c>
      <c r="J1" s="675"/>
      <c r="K1" s="675"/>
    </row>
    <row r="2" spans="1:11" ht="16.2" thickBot="1">
      <c r="A2" s="573"/>
      <c r="B2" s="575"/>
      <c r="C2" s="237" t="s">
        <v>24</v>
      </c>
      <c r="D2" s="237" t="s">
        <v>25</v>
      </c>
      <c r="E2" s="676" t="s">
        <v>24</v>
      </c>
      <c r="F2" s="677"/>
      <c r="G2" s="269" t="s">
        <v>25</v>
      </c>
      <c r="H2" s="676"/>
      <c r="I2" s="677"/>
      <c r="J2" s="269" t="s">
        <v>25</v>
      </c>
      <c r="K2" s="235"/>
    </row>
    <row r="3" spans="1:11" ht="96" customHeight="1" thickTop="1" thickBot="1">
      <c r="A3" s="578" t="s">
        <v>26</v>
      </c>
      <c r="B3" s="579"/>
      <c r="C3" s="238">
        <v>1845500</v>
      </c>
      <c r="D3" s="239">
        <v>49</v>
      </c>
      <c r="E3" s="668">
        <f>SUM(E4:F6)</f>
        <v>2540009.3789999997</v>
      </c>
      <c r="F3" s="669"/>
      <c r="G3" s="268">
        <f>E3/C13*100</f>
        <v>68.060272749196145</v>
      </c>
      <c r="H3" s="668">
        <f>SUM(H4:I6)</f>
        <v>2427350.6220000004</v>
      </c>
      <c r="I3" s="669"/>
      <c r="J3" s="270">
        <f>H3/C13*100</f>
        <v>65.041549356913194</v>
      </c>
      <c r="K3" s="235"/>
    </row>
    <row r="4" spans="1:11" ht="183" thickBot="1">
      <c r="A4" s="562" t="s">
        <v>27</v>
      </c>
      <c r="B4" s="242" t="s">
        <v>371</v>
      </c>
      <c r="C4" s="564">
        <v>1060000</v>
      </c>
      <c r="D4" s="566">
        <v>28</v>
      </c>
      <c r="E4" s="670">
        <f>'Таблица-5'!F6+'Таблица-5'!F7</f>
        <v>1435663.8049999999</v>
      </c>
      <c r="F4" s="671"/>
      <c r="G4" s="271">
        <f>E4/C13*100</f>
        <v>38.469019426580921</v>
      </c>
      <c r="H4" s="670">
        <f>'Таблица-5'!J6+'Таблица-5'!J7</f>
        <v>1334307.675</v>
      </c>
      <c r="I4" s="671"/>
      <c r="J4" s="272">
        <f>H4/C13*100</f>
        <v>35.75315313504823</v>
      </c>
      <c r="K4" s="235"/>
    </row>
    <row r="5" spans="1:11" ht="34.799999999999997" thickBot="1">
      <c r="A5" s="563"/>
      <c r="B5" s="244" t="s">
        <v>29</v>
      </c>
      <c r="C5" s="565"/>
      <c r="D5" s="567"/>
      <c r="E5" s="672"/>
      <c r="F5" s="673"/>
      <c r="G5" s="273"/>
      <c r="H5" s="672"/>
      <c r="I5" s="673"/>
      <c r="J5" s="274"/>
      <c r="K5" s="235"/>
    </row>
    <row r="6" spans="1:11" ht="114">
      <c r="A6" s="555" t="s">
        <v>30</v>
      </c>
      <c r="B6" s="242" t="s">
        <v>31</v>
      </c>
      <c r="C6" s="558">
        <v>785500</v>
      </c>
      <c r="D6" s="559">
        <v>21</v>
      </c>
      <c r="E6" s="666">
        <f>'Таблица-5'!F8</f>
        <v>1104345.574</v>
      </c>
      <c r="F6" s="667"/>
      <c r="G6" s="275">
        <f>E6/C13*100</f>
        <v>29.59125332261522</v>
      </c>
      <c r="H6" s="666">
        <f>'Таблица-5'!J8</f>
        <v>1093042.9470000002</v>
      </c>
      <c r="I6" s="667"/>
      <c r="J6" s="276">
        <f>H6/C13*100</f>
        <v>29.288396221864954</v>
      </c>
      <c r="K6" s="235"/>
    </row>
    <row r="7" spans="1:11" ht="16.2" thickBot="1">
      <c r="A7" s="542"/>
      <c r="B7" s="249" t="s">
        <v>32</v>
      </c>
      <c r="C7" s="557"/>
      <c r="D7" s="546"/>
      <c r="E7" s="662"/>
      <c r="F7" s="663"/>
      <c r="G7" s="277"/>
      <c r="H7" s="662"/>
      <c r="I7" s="663"/>
      <c r="J7" s="277"/>
      <c r="K7" s="235"/>
    </row>
    <row r="8" spans="1:11" ht="108" customHeight="1" thickBot="1">
      <c r="A8" s="551" t="s">
        <v>33</v>
      </c>
      <c r="B8" s="552"/>
      <c r="C8" s="251">
        <v>1886500</v>
      </c>
      <c r="D8" s="252">
        <v>51</v>
      </c>
      <c r="E8" s="664">
        <f>SUM(E9:F11)</f>
        <v>2139430.7999999998</v>
      </c>
      <c r="F8" s="665"/>
      <c r="G8" s="278">
        <f>E8/C13*100</f>
        <v>57.326655948553054</v>
      </c>
      <c r="H8" s="664">
        <f>SUM(H9:I11)</f>
        <v>2020835.7699999996</v>
      </c>
      <c r="I8" s="665"/>
      <c r="J8" s="278">
        <f>H8/C13*100</f>
        <v>54.148868435155407</v>
      </c>
      <c r="K8" s="235"/>
    </row>
    <row r="9" spans="1:11" ht="125.4">
      <c r="A9" s="555" t="s">
        <v>35</v>
      </c>
      <c r="B9" s="242" t="s">
        <v>36</v>
      </c>
      <c r="C9" s="556">
        <v>1736500</v>
      </c>
      <c r="D9" s="545">
        <v>47</v>
      </c>
      <c r="E9" s="660">
        <f>'Таблица-5'!F9</f>
        <v>1931861.3099999998</v>
      </c>
      <c r="F9" s="661"/>
      <c r="G9" s="276">
        <f>E9/C13*100</f>
        <v>51.764772508038583</v>
      </c>
      <c r="H9" s="660">
        <f>'Таблица-5'!J9</f>
        <v>1813506.2799999996</v>
      </c>
      <c r="I9" s="661"/>
      <c r="J9" s="276">
        <f>H9/C13*100</f>
        <v>48.593415862808129</v>
      </c>
      <c r="K9" s="235"/>
    </row>
    <row r="10" spans="1:11" ht="16.2" thickBot="1">
      <c r="A10" s="542"/>
      <c r="B10" s="249" t="s">
        <v>37</v>
      </c>
      <c r="C10" s="557"/>
      <c r="D10" s="546"/>
      <c r="E10" s="662"/>
      <c r="F10" s="663"/>
      <c r="G10" s="277"/>
      <c r="H10" s="662"/>
      <c r="I10" s="663"/>
      <c r="J10" s="277"/>
      <c r="K10" s="235"/>
    </row>
    <row r="11" spans="1:11" ht="148.19999999999999">
      <c r="A11" s="541" t="s">
        <v>38</v>
      </c>
      <c r="B11" s="242" t="s">
        <v>39</v>
      </c>
      <c r="C11" s="543">
        <v>150000</v>
      </c>
      <c r="D11" s="545">
        <v>4</v>
      </c>
      <c r="E11" s="660">
        <f>'Таблица-5'!F10</f>
        <v>207569.49</v>
      </c>
      <c r="F11" s="661"/>
      <c r="G11" s="276">
        <f>E11/C13*100</f>
        <v>5.5618834405144693</v>
      </c>
      <c r="H11" s="660">
        <f>'Таблица-5'!J10</f>
        <v>207329.49</v>
      </c>
      <c r="I11" s="661"/>
      <c r="J11" s="276">
        <f>H11/C13*100</f>
        <v>5.5554525723472663</v>
      </c>
      <c r="K11" s="235"/>
    </row>
    <row r="12" spans="1:11" ht="23.4" thickBot="1">
      <c r="A12" s="542"/>
      <c r="B12" s="249" t="s">
        <v>40</v>
      </c>
      <c r="C12" s="544"/>
      <c r="D12" s="546"/>
      <c r="E12" s="662"/>
      <c r="F12" s="663"/>
      <c r="G12" s="277"/>
      <c r="H12" s="662"/>
      <c r="I12" s="663"/>
      <c r="J12" s="277"/>
      <c r="K12" s="235"/>
    </row>
    <row r="13" spans="1:11" ht="46.2" thickBot="1">
      <c r="A13" s="254"/>
      <c r="B13" s="255" t="s">
        <v>41</v>
      </c>
      <c r="C13" s="256">
        <v>3732000</v>
      </c>
      <c r="D13" s="257">
        <v>100</v>
      </c>
      <c r="E13" s="658">
        <f>E8+E3</f>
        <v>4679440.1789999995</v>
      </c>
      <c r="F13" s="659"/>
      <c r="G13" s="279">
        <f>E13/C13*100</f>
        <v>125.38692869774918</v>
      </c>
      <c r="H13" s="658">
        <f>H8+H3</f>
        <v>4448186.392</v>
      </c>
      <c r="I13" s="659"/>
      <c r="J13" s="279">
        <f>H13/C13*100</f>
        <v>119.1904177920686</v>
      </c>
      <c r="K13" s="235"/>
    </row>
    <row r="14" spans="1:11" ht="15" thickTop="1"/>
    <row r="16" spans="1:11" ht="129.6">
      <c r="A16" s="258" t="s">
        <v>372</v>
      </c>
    </row>
  </sheetData>
  <mergeCells count="43">
    <mergeCell ref="A1:A2"/>
    <mergeCell ref="B1:B2"/>
    <mergeCell ref="C1:E1"/>
    <mergeCell ref="F1:H1"/>
    <mergeCell ref="I1:K1"/>
    <mergeCell ref="E2:F2"/>
    <mergeCell ref="H2:I2"/>
    <mergeCell ref="A3:B3"/>
    <mergeCell ref="E3:F3"/>
    <mergeCell ref="H3:I3"/>
    <mergeCell ref="A4:A5"/>
    <mergeCell ref="C4:C5"/>
    <mergeCell ref="D4:D5"/>
    <mergeCell ref="E4:F4"/>
    <mergeCell ref="H4:I4"/>
    <mergeCell ref="E5:F5"/>
    <mergeCell ref="H5:I5"/>
    <mergeCell ref="A6:A7"/>
    <mergeCell ref="C6:C7"/>
    <mergeCell ref="D6:D7"/>
    <mergeCell ref="E6:F6"/>
    <mergeCell ref="H6:I6"/>
    <mergeCell ref="E7:F7"/>
    <mergeCell ref="H7:I7"/>
    <mergeCell ref="A8:B8"/>
    <mergeCell ref="E8:F8"/>
    <mergeCell ref="H8:I8"/>
    <mergeCell ref="A9:A10"/>
    <mergeCell ref="C9:C10"/>
    <mergeCell ref="D9:D10"/>
    <mergeCell ref="E9:F9"/>
    <mergeCell ref="H9:I9"/>
    <mergeCell ref="E10:F10"/>
    <mergeCell ref="H10:I10"/>
    <mergeCell ref="E13:F13"/>
    <mergeCell ref="H13:I13"/>
    <mergeCell ref="A11:A12"/>
    <mergeCell ref="C11:C12"/>
    <mergeCell ref="D11:D12"/>
    <mergeCell ref="E11:F11"/>
    <mergeCell ref="H11:I11"/>
    <mergeCell ref="E12:F12"/>
    <mergeCell ref="H12:I12"/>
  </mergeCells>
  <hyperlinks>
    <hyperlink ref="I1" location="_ftn1" display="_ftn1"/>
    <hyperlink ref="A16" location="_ftnref1" display="_ftnref1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opLeftCell="A7" workbookViewId="0">
      <selection activeCell="I14" sqref="I14"/>
    </sheetView>
  </sheetViews>
  <sheetFormatPr defaultRowHeight="14.4"/>
  <cols>
    <col min="2" max="2" width="33.33203125" customWidth="1"/>
    <col min="3" max="3" width="23.33203125" customWidth="1"/>
    <col min="4" max="5" width="16.33203125" customWidth="1"/>
    <col min="6" max="6" width="19.33203125" customWidth="1"/>
  </cols>
  <sheetData>
    <row r="1" spans="1:6" ht="15" thickBot="1"/>
    <row r="2" spans="1:6" ht="61.95" customHeight="1" thickBot="1">
      <c r="A2" s="704"/>
      <c r="B2" s="706" t="s">
        <v>22</v>
      </c>
      <c r="C2" s="678" t="s">
        <v>23</v>
      </c>
      <c r="D2" s="679"/>
      <c r="E2" s="678" t="s">
        <v>42</v>
      </c>
      <c r="F2" s="679"/>
    </row>
    <row r="3" spans="1:6" ht="16.2" thickBot="1">
      <c r="A3" s="705"/>
      <c r="B3" s="707"/>
      <c r="C3" s="11" t="s">
        <v>24</v>
      </c>
      <c r="D3" s="11" t="s">
        <v>25</v>
      </c>
      <c r="E3" s="11" t="s">
        <v>24</v>
      </c>
      <c r="F3" s="11" t="s">
        <v>25</v>
      </c>
    </row>
    <row r="4" spans="1:6" ht="72.599999999999994" customHeight="1" thickTop="1" thickBot="1">
      <c r="A4" s="702" t="s">
        <v>26</v>
      </c>
      <c r="B4" s="703"/>
      <c r="C4" s="12">
        <v>1633000</v>
      </c>
      <c r="D4" s="13">
        <v>55.7</v>
      </c>
      <c r="E4" s="13">
        <f>SUM(E5:E8)</f>
        <v>791033.49</v>
      </c>
      <c r="F4" s="24">
        <f>SUM(F5:F8)</f>
        <v>26.970115581316058</v>
      </c>
    </row>
    <row r="5" spans="1:6" ht="78">
      <c r="A5" s="708" t="s">
        <v>27</v>
      </c>
      <c r="B5" s="14" t="s">
        <v>28</v>
      </c>
      <c r="C5" s="710">
        <v>950000</v>
      </c>
      <c r="D5" s="701">
        <v>32.4</v>
      </c>
      <c r="E5" s="680">
        <v>791033.49</v>
      </c>
      <c r="F5" s="685">
        <f>E5/C14*100</f>
        <v>26.970115581316058</v>
      </c>
    </row>
    <row r="6" spans="1:6" ht="16.2" thickBot="1">
      <c r="A6" s="709"/>
      <c r="B6" s="15" t="s">
        <v>29</v>
      </c>
      <c r="C6" s="711"/>
      <c r="D6" s="712"/>
      <c r="E6" s="681"/>
      <c r="F6" s="686"/>
    </row>
    <row r="7" spans="1:6" ht="62.4">
      <c r="A7" s="697" t="s">
        <v>30</v>
      </c>
      <c r="B7" s="16" t="s">
        <v>31</v>
      </c>
      <c r="C7" s="698">
        <v>683000</v>
      </c>
      <c r="D7" s="700">
        <v>23.3</v>
      </c>
      <c r="E7" s="682">
        <v>0</v>
      </c>
      <c r="F7" s="701">
        <v>0</v>
      </c>
    </row>
    <row r="8" spans="1:6" ht="16.2" thickBot="1">
      <c r="A8" s="688"/>
      <c r="B8" s="17" t="s">
        <v>32</v>
      </c>
      <c r="C8" s="699"/>
      <c r="D8" s="692"/>
      <c r="E8" s="683"/>
      <c r="F8" s="696"/>
    </row>
    <row r="9" spans="1:6" ht="71.400000000000006" customHeight="1" thickTop="1" thickBot="1">
      <c r="A9" s="702" t="s">
        <v>33</v>
      </c>
      <c r="B9" s="703"/>
      <c r="C9" s="18" t="s">
        <v>34</v>
      </c>
      <c r="D9" s="19">
        <v>44.3</v>
      </c>
      <c r="E9" s="19">
        <f>SUM(E10:E13)</f>
        <v>967346.95</v>
      </c>
      <c r="F9" s="25">
        <f>SUM(F10:F13)</f>
        <v>32.98148482782134</v>
      </c>
    </row>
    <row r="10" spans="1:6" ht="62.4">
      <c r="A10" s="687" t="s">
        <v>35</v>
      </c>
      <c r="B10" s="16" t="s">
        <v>36</v>
      </c>
      <c r="C10" s="689">
        <v>1150000</v>
      </c>
      <c r="D10" s="691">
        <v>39.200000000000003</v>
      </c>
      <c r="E10" s="684">
        <v>967346.95</v>
      </c>
      <c r="F10" s="693">
        <f>E10/C14*100</f>
        <v>32.98148482782134</v>
      </c>
    </row>
    <row r="11" spans="1:6" ht="16.2" thickBot="1">
      <c r="A11" s="688"/>
      <c r="B11" s="17" t="s">
        <v>37</v>
      </c>
      <c r="C11" s="690"/>
      <c r="D11" s="692"/>
      <c r="E11" s="683"/>
      <c r="F11" s="694"/>
    </row>
    <row r="12" spans="1:6" ht="62.4">
      <c r="A12" s="687" t="s">
        <v>38</v>
      </c>
      <c r="B12" s="16" t="s">
        <v>39</v>
      </c>
      <c r="C12" s="689">
        <v>150000</v>
      </c>
      <c r="D12" s="691">
        <v>5.0999999999999996</v>
      </c>
      <c r="E12" s="684">
        <v>0</v>
      </c>
      <c r="F12" s="695">
        <v>0</v>
      </c>
    </row>
    <row r="13" spans="1:6" ht="16.2" thickBot="1">
      <c r="A13" s="688"/>
      <c r="B13" s="17" t="s">
        <v>40</v>
      </c>
      <c r="C13" s="690"/>
      <c r="D13" s="692"/>
      <c r="E13" s="683"/>
      <c r="F13" s="696"/>
    </row>
    <row r="14" spans="1:6" ht="31.8" thickBot="1">
      <c r="A14" s="20"/>
      <c r="B14" s="21" t="s">
        <v>41</v>
      </c>
      <c r="C14" s="22">
        <v>2933000</v>
      </c>
      <c r="D14" s="23">
        <v>100</v>
      </c>
      <c r="E14" s="26">
        <f>E4+E9</f>
        <v>1758380.44</v>
      </c>
      <c r="F14" s="26">
        <f>F4+F9</f>
        <v>59.951600409137399</v>
      </c>
    </row>
    <row r="15" spans="1:6" ht="15" thickTop="1"/>
  </sheetData>
  <mergeCells count="26">
    <mergeCell ref="A2:A3"/>
    <mergeCell ref="B2:B3"/>
    <mergeCell ref="C2:D2"/>
    <mergeCell ref="A4:B4"/>
    <mergeCell ref="A5:A6"/>
    <mergeCell ref="C5:C6"/>
    <mergeCell ref="D5:D6"/>
    <mergeCell ref="A7:A8"/>
    <mergeCell ref="C7:C8"/>
    <mergeCell ref="D7:D8"/>
    <mergeCell ref="F7:F8"/>
    <mergeCell ref="A9:B9"/>
    <mergeCell ref="A10:A11"/>
    <mergeCell ref="C10:C11"/>
    <mergeCell ref="D10:D11"/>
    <mergeCell ref="F10:F11"/>
    <mergeCell ref="A12:A13"/>
    <mergeCell ref="C12:C13"/>
    <mergeCell ref="D12:D13"/>
    <mergeCell ref="F12:F13"/>
    <mergeCell ref="E2:F2"/>
    <mergeCell ref="E5:E6"/>
    <mergeCell ref="E7:E8"/>
    <mergeCell ref="E10:E11"/>
    <mergeCell ref="E12:E13"/>
    <mergeCell ref="F5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21</vt:i4>
      </vt:variant>
      <vt:variant>
        <vt:lpstr>Наименувани диапазони</vt:lpstr>
      </vt:variant>
      <vt:variant>
        <vt:i4>8</vt:i4>
      </vt:variant>
    </vt:vector>
  </HeadingPairs>
  <TitlesOfParts>
    <vt:vector size="29" baseType="lpstr">
      <vt:lpstr>Таблица-1</vt:lpstr>
      <vt:lpstr>Таблица 2</vt:lpstr>
      <vt:lpstr>Таблица-3</vt:lpstr>
      <vt:lpstr>Лист2</vt:lpstr>
      <vt:lpstr>Таблица-4</vt:lpstr>
      <vt:lpstr>Таблица-5</vt:lpstr>
      <vt:lpstr>Таблица-6</vt:lpstr>
      <vt:lpstr>Таблица-7</vt:lpstr>
      <vt:lpstr>Таблица-8</vt:lpstr>
      <vt:lpstr>Таблица-9</vt:lpstr>
      <vt:lpstr>Таблица-10</vt:lpstr>
      <vt:lpstr>Таблица-11</vt:lpstr>
      <vt:lpstr>Таблица-12</vt:lpstr>
      <vt:lpstr>Таблица-13</vt:lpstr>
      <vt:lpstr>Лист5</vt:lpstr>
      <vt:lpstr>Лист6</vt:lpstr>
      <vt:lpstr>Лист7</vt:lpstr>
      <vt:lpstr>договори</vt:lpstr>
      <vt:lpstr>Лист1</vt:lpstr>
      <vt:lpstr>Лист3</vt:lpstr>
      <vt:lpstr>Лист4</vt:lpstr>
      <vt:lpstr>Лист2!_ftn1</vt:lpstr>
      <vt:lpstr>Лист2!_ftnref1</vt:lpstr>
      <vt:lpstr>'Таблица 2'!Област_печат</vt:lpstr>
      <vt:lpstr>'Таблица-11'!Област_печат</vt:lpstr>
      <vt:lpstr>'Таблица-12'!Област_печат</vt:lpstr>
      <vt:lpstr>'Таблица-13'!Област_печат</vt:lpstr>
      <vt:lpstr>'Таблица-5'!Област_печат</vt:lpstr>
      <vt:lpstr>'Таблица-9'!Област_печат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2025-09-24T12:10:57Z</dcterms:modified>
</cp:coreProperties>
</file>